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C:\Users\kurata\Desktop\SST電源(改)新規開発資料\PFC+LLC開発資料\LLCﾃﾞﾊﾞｲｽ\UCC256302_ﾃﾞｻﾞｲﾝ資料\"/>
    </mc:Choice>
  </mc:AlternateContent>
  <xr:revisionPtr revIDLastSave="0" documentId="13_ncr:1_{64E132F0-E55B-4760-993E-4CB21720C1C5}" xr6:coauthVersionLast="47" xr6:coauthVersionMax="47" xr10:uidLastSave="{00000000-0000-0000-0000-000000000000}"/>
  <bookViews>
    <workbookView xWindow="1395" yWindow="1035" windowWidth="19365" windowHeight="13455" firstSheet="1" activeTab="1" xr2:uid="{00000000-000D-0000-FFFF-FFFF00000000}"/>
  </bookViews>
  <sheets>
    <sheet name="SCHEMATIC" sheetId="3" r:id="rId1"/>
    <sheet name="DESIGN INPUTS AND CALCULATIONS" sheetId="1" r:id="rId2"/>
    <sheet name="tables and calculations" sheetId="2" state="hidden" r:id="rId3"/>
    <sheet name="Compensation" sheetId="4" state="hidden" r:id="rId4"/>
  </sheets>
  <externalReferences>
    <externalReference r:id="rId5"/>
    <externalReference r:id="rId6"/>
  </externalReferences>
  <definedNames>
    <definedName name="_xlnm._FilterDatabase" localSheetId="1" hidden="1">'DESIGN INPUTS AND CALCULATIONS'!$A$176:$E$194</definedName>
    <definedName name="Bvdss">'DESIGN INPUTS AND CALCULATIONS'!#REF!</definedName>
    <definedName name="C_1initial">'tables and calculations'!$K$185</definedName>
    <definedName name="C_1llc_filter">'DESIGN INPUTS AND CALCULATIONS'!#REF!</definedName>
    <definedName name="C_1rec">'tables and calculations'!$K$186</definedName>
    <definedName name="C_f1">'tables and calculations'!$F$191</definedName>
    <definedName name="C_f2">'tables and calculations'!$E$193</definedName>
    <definedName name="C_s1">'tables and calculations'!$E$180</definedName>
    <definedName name="C_s2">'tables and calculations'!$F$199</definedName>
    <definedName name="Cblk">'DESIGN INPUTS AND CALCULATIONS'!#REF!</definedName>
    <definedName name="Cblk_initial">'tables and calculations'!$K$199</definedName>
    <definedName name="Cblk_rec">'tables and calculations'!$K$200</definedName>
    <definedName name="Cbulk_initial">'tables and calculations'!#REF!</definedName>
    <definedName name="Ceq">'DESIGN INPUTS AND CALCULATIONS'!#REF!</definedName>
    <definedName name="Cin">'DESIGN INPUTS AND CALCULATIONS'!#REF!</definedName>
    <definedName name="Cin_initial">'tables and calculations'!$K$192</definedName>
    <definedName name="Cin_rec">'tables and calculations'!$K$193</definedName>
    <definedName name="Coss_LLC">'DESIGN INPUTS AND CALCULATIONS'!#REF!</definedName>
    <definedName name="Coss_pfc">'DESIGN INPUTS AND CALCULATIONS'!#REF!</definedName>
    <definedName name="Cr">'DESIGN INPUTS AND CALCULATIONS'!$C$92</definedName>
    <definedName name="Cr_initial">'tables and calculations'!$K$178</definedName>
    <definedName name="Cr_rec">'tables and calculations'!$K$179</definedName>
    <definedName name="Cs_1">'tables and calculations'!$E$180</definedName>
    <definedName name="Cvcc">'DESIGN INPUTS AND CALCULATIONS'!#REF!</definedName>
    <definedName name="deltaVin">'DESIGN INPUTS AND CALCULATIONS'!#REF!</definedName>
    <definedName name="eff">'DESIGN INPUTS AND CALCULATIONS'!$C$29</definedName>
    <definedName name="Energy_C">'DESIGN INPUTS AND CALCULATIONS'!#REF!</definedName>
    <definedName name="Energy_L">'DESIGN INPUTS AND CALCULATIONS'!#REF!</definedName>
    <definedName name="ESR">'DESIGN INPUTS AND CALCULATIONS'!$C$140</definedName>
    <definedName name="f_pfc">'DESIGN INPUTS AND CALCULATIONS'!#REF!</definedName>
    <definedName name="f0">'DESIGN INPUTS AND CALCULATIONS'!$C$97</definedName>
    <definedName name="fline_max">'DESIGN INPUTS AND CALCULATIONS'!#REF!</definedName>
    <definedName name="fline_min">'DESIGN INPUTS AND CALCULATIONS'!#REF!</definedName>
    <definedName name="fllc">'DESIGN INPUTS AND CALCULATIONS'!$C$38</definedName>
    <definedName name="fn_Mgmax">'DESIGN INPUTS AND CALCULATIONS'!$C$102</definedName>
    <definedName name="fn_Mgmin">'DESIGN INPUTS AND CALCULATIONS'!$C$103</definedName>
    <definedName name="fNmax">'DESIGN INPUTS AND CALCULATIONS'!$C$59</definedName>
    <definedName name="fsw_max">'DESIGN INPUTS AND CALCULATIONS'!$C$104</definedName>
    <definedName name="fsw_min">'DESIGN INPUTS AND CALCULATIONS'!$C$105</definedName>
    <definedName name="Ibridge">'DESIGN INPUTS AND CALCULATIONS'!#REF!</definedName>
    <definedName name="Ic_out">'DESIGN INPUTS AND CALCULATIONS'!$C$139</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m">'DESIGN INPUTS AND CALCULATIONS'!$C$108</definedName>
    <definedName name="Im_peak">'DESIGN INPUTS AND CALCULATIONS'!#REF!</definedName>
    <definedName name="Ioe">'DESIGN INPUTS AND CALCULATIONS'!$C$107</definedName>
    <definedName name="Iout">'DESIGN INPUTS AND CALCULATIONS'!$C$27</definedName>
    <definedName name="Iout_pfc">'DESIGN INPUTS AND CALCULATIONS'!#REF!</definedName>
    <definedName name="Iq_LLC">'DESIGN INPUTS AND CALCULATIONS'!$C$130</definedName>
    <definedName name="Ir">'DESIGN INPUTS AND CALCULATIONS'!$C$109</definedName>
    <definedName name="Irect">'DESIGN INPUTS AND CALCULATIONS'!$C$137</definedName>
    <definedName name="Iripple_factor">'DESIGN INPUTS AND CALCULATIONS'!#REF!</definedName>
    <definedName name="Isav">'DESIGN INPUTS AND CALCULATIONS'!$C$134</definedName>
    <definedName name="kHz">'tables and calculations'!$B$180</definedName>
    <definedName name="kOhm">'tables and calculations'!$B$191</definedName>
    <definedName name="kOhms">[1]data!$H$18</definedName>
    <definedName name="Lm">'DESIGN INPUTS AND CALCULATIONS'!$C$96</definedName>
    <definedName name="Lm_rec">'DESIGN INPUTS AND CALCULATIONS'!$C$95</definedName>
    <definedName name="Ln">'DESIGN INPUTS AND CALCULATIONS'!$C$99</definedName>
    <definedName name="Ln_selected">'DESIGN INPUTS AND CALCULATIONS'!$C$56</definedName>
    <definedName name="Lpfc">'DESIGN INPUTS AND CALCULATIONS'!#REF!</definedName>
    <definedName name="Lpfc_rec">'DESIGN INPUTS AND CALCULATIONS'!#REF!</definedName>
    <definedName name="Lr">'DESIGN INPUTS AND CALCULATIONS'!$C$94</definedName>
    <definedName name="Lr_rec">'DESIGN INPUTS AND CALCULATIONS'!$C$93</definedName>
    <definedName name="mA">'tables and calculations'!$B$183</definedName>
    <definedName name="MegOhm">[1]data!$H$22</definedName>
    <definedName name="Mg_max">'DESIGN INPUTS AND CALCULATIONS'!$C$48</definedName>
    <definedName name="Mg_min">'DESIGN INPUTS AND CALCULATIONS'!$C$47</definedName>
    <definedName name="Mg_noload">'DESIGN INPUTS AND CALCULATIONS'!$C$58</definedName>
    <definedName name="MHz">'tables and calculations'!$B$189</definedName>
    <definedName name="mOhm">'tables and calculations'!$B$181</definedName>
    <definedName name="ms">'tables and calculations'!$B$182</definedName>
    <definedName name="mV">'tables and calculations'!$B$178</definedName>
    <definedName name="mW">'tables and calculations'!$B$187</definedName>
    <definedName name="nC">'tables and calculations'!$B$192</definedName>
    <definedName name="nF">'tables and calculations'!$B$193</definedName>
    <definedName name="Nps">'DESIGN INPUTS AND CALCULATIONS'!$C$41</definedName>
    <definedName name="Nps_rec">'DESIGN INPUTS AND CALCULATIONS'!#REF!</definedName>
    <definedName name="ns">'tables and calculations'!$B$186</definedName>
    <definedName name="Pbridge">'DESIGN INPUTS AND CALCULATIONS'!#REF!</definedName>
    <definedName name="PF">'DESIGN INPUTS AND CALCULATIONS'!#REF!</definedName>
    <definedName name="picoF">'tables and calculations'!$B$188</definedName>
    <definedName name="Pin">[2]CALCULATIONS!$C$30</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e">'DESIGN INPUTS AND CALCULATIONS'!$C$100</definedName>
    <definedName name="Qe_selected">'DESIGN INPUTS AND CALCULATIONS'!$C$57</definedName>
    <definedName name="Qrr">'DESIGN INPUTS AND CALCULATIONS'!#REF!</definedName>
    <definedName name="Rcs_LLC">'DESIGN INPUTS AND CALCULATIONS'!#REF!</definedName>
    <definedName name="Rdson">'DESIGN INPUTS AND CALCULATIONS'!#REF!</definedName>
    <definedName name="Re">'DESIGN INPUTS AND CALCULATIONS'!$C$44</definedName>
    <definedName name="Re_fl">'DESIGN INPUTS AND CALCULATIONS'!$C$45</definedName>
    <definedName name="tdead">'DESIGN INPUTS AND CALCULATIONS'!#REF!</definedName>
    <definedName name="tf">'DESIGN INPUTS AND CALCULATIONS'!#REF!</definedName>
    <definedName name="tH">'DESIGN INPUTS AND CALCULATIONS'!#REF!</definedName>
    <definedName name="tr">'DESIGN INPUTS AND CALCULATIONS'!#REF!</definedName>
    <definedName name="uA">'tables and calculations'!$B$190</definedName>
    <definedName name="uC">'tables and calculations'!$B$194</definedName>
    <definedName name="uF">'tables and calculations'!$B$179</definedName>
    <definedName name="uH">'tables and calculations'!$B$185</definedName>
    <definedName name="us">'tables and calculations'!$B$184</definedName>
    <definedName name="Vacin_max">'DESIGN INPUTS AND CALCULATIONS'!#REF!</definedName>
    <definedName name="Vacin_min">'DESIGN INPUTS AND CALCULATIONS'!#REF!</definedName>
    <definedName name="Vblk">'DESIGN INPUTS AND CALCULATIONS'!$C$32</definedName>
    <definedName name="Vblk_hu">'DESIGN INPUTS AND CALCULATIONS'!$C$35</definedName>
    <definedName name="Vblk_max">'DESIGN INPUTS AND CALCULATIONS'!$C$34</definedName>
    <definedName name="Vblk_min">'DESIGN INPUTS AND CALCULATIONS'!#REF!</definedName>
    <definedName name="Vblk_ripple">'DESIGN INPUTS AND CALCULATIONS'!#REF!</definedName>
    <definedName name="Vblk_ripple_target">'DESIGN INPUTS AND CALCULATIONS'!$C$33</definedName>
    <definedName name="Vblock_bridge">'DESIGN INPUTS AND CALCULATIONS'!#REF!</definedName>
    <definedName name="Vbulk_min">[2]CALCULATIONS!$C$10</definedName>
    <definedName name="Vbulk_valley_rcmd">[2]CALCULATIONS!$C$35</definedName>
    <definedName name="Vcr">'DESIGN INPUTS AND CALCULATIONS'!$C$120</definedName>
    <definedName name="Vdb">'DESIGN INPUTS AND CALCULATIONS'!$C$133</definedName>
    <definedName name="Vf_bridge">'DESIGN INPUTS AND CALCULATIONS'!#REF!</definedName>
    <definedName name="Vf_Dpfc">'DESIGN INPUTS AND CALCULATIONS'!#REF!</definedName>
    <definedName name="Vin_peak_max">'DESIGN INPUTS AND CALCULATIONS'!#REF!</definedName>
    <definedName name="Vin_peak_min">'DESIGN INPUTS AND CALCULATIONS'!#REF!</definedName>
    <definedName name="Vllc_cap">'DESIGN INPUTS AND CALCULATIONS'!$C$138</definedName>
    <definedName name="Vloss">'DESIGN INPUTS AND CALCULATIONS'!$C$49</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q_LLC">'DESIGN INPUTS AND CALCULATIONS'!$C$129</definedName>
  </definedNames>
  <calcPr calcId="191029"/>
</workbook>
</file>

<file path=xl/calcChain.xml><?xml version="1.0" encoding="utf-8"?>
<calcChain xmlns="http://schemas.openxmlformats.org/spreadsheetml/2006/main">
  <c r="B253" i="2" l="1"/>
  <c r="B254" i="2" l="1"/>
  <c r="B252" i="2"/>
  <c r="C202" i="1" s="1"/>
  <c r="C226" i="1"/>
  <c r="B294" i="2" l="1"/>
  <c r="B317" i="2" s="1"/>
  <c r="B304" i="2"/>
  <c r="B301" i="2"/>
  <c r="B300" i="2"/>
  <c r="B299" i="2"/>
  <c r="B303" i="2"/>
  <c r="B302" i="2"/>
  <c r="B298" i="2"/>
  <c r="B297" i="2"/>
  <c r="B296" i="2"/>
  <c r="B295" i="2"/>
  <c r="D279" i="2"/>
  <c r="D280" i="2" s="1"/>
  <c r="D281" i="2" s="1"/>
  <c r="D282" i="2" s="1"/>
  <c r="D283" i="2" s="1"/>
  <c r="D284" i="2" s="1"/>
  <c r="D285" i="2" s="1"/>
  <c r="D286" i="2" s="1"/>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B308" i="2" l="1"/>
  <c r="A309" i="2"/>
  <c r="A314" i="2"/>
  <c r="A310" i="2"/>
  <c r="A313" i="2"/>
  <c r="B287" i="2" l="1"/>
  <c r="E278" i="2"/>
  <c r="F278" i="2" s="1"/>
  <c r="K278" i="2" s="1"/>
  <c r="L278" i="2" s="1"/>
  <c r="E279" i="2"/>
  <c r="F279" i="2" s="1"/>
  <c r="K279" i="2" s="1"/>
  <c r="L279" i="2" s="1"/>
  <c r="M279" i="2" s="1"/>
  <c r="B278" i="2"/>
  <c r="N278" i="2" l="1"/>
  <c r="M278" i="2"/>
  <c r="N279" i="2"/>
  <c r="E280" i="2" l="1"/>
  <c r="F280" i="2" s="1"/>
  <c r="K280" i="2" s="1"/>
  <c r="L280" i="2" s="1"/>
  <c r="M280" i="2" s="1"/>
  <c r="C18" i="4"/>
  <c r="C17" i="4"/>
  <c r="C47" i="1"/>
  <c r="C11" i="4"/>
  <c r="C12" i="4"/>
  <c r="C10" i="4"/>
  <c r="C9" i="4"/>
  <c r="C6" i="4"/>
  <c r="C5" i="4"/>
  <c r="C3" i="4"/>
  <c r="C4" i="4"/>
  <c r="N280" i="2" l="1"/>
  <c r="E281" i="2"/>
  <c r="F281" i="2" s="1"/>
  <c r="K281" i="2" s="1"/>
  <c r="L281" i="2" s="1"/>
  <c r="M281" i="2" s="1"/>
  <c r="C16" i="4"/>
  <c r="AR68" i="2" s="1"/>
  <c r="C7" i="4"/>
  <c r="B272" i="2"/>
  <c r="B271" i="2"/>
  <c r="B270" i="2"/>
  <c r="AR129" i="2" l="1"/>
  <c r="AR80" i="2"/>
  <c r="AR109" i="2"/>
  <c r="AR86" i="2"/>
  <c r="AR112" i="2"/>
  <c r="AR95" i="2"/>
  <c r="AR132" i="2"/>
  <c r="AR115" i="2"/>
  <c r="N281" i="2"/>
  <c r="AR84" i="2"/>
  <c r="S60" i="2"/>
  <c r="T60" i="2" s="1"/>
  <c r="AR127" i="2"/>
  <c r="AR77" i="2"/>
  <c r="AR100" i="2"/>
  <c r="AR97" i="2"/>
  <c r="AR83" i="2"/>
  <c r="AR74" i="2"/>
  <c r="E282" i="2"/>
  <c r="F282" i="2" s="1"/>
  <c r="K282" i="2" s="1"/>
  <c r="L282" i="2" s="1"/>
  <c r="M282" i="2" s="1"/>
  <c r="AR116" i="2"/>
  <c r="AR81" i="2"/>
  <c r="AR113" i="2"/>
  <c r="AR67" i="2"/>
  <c r="AR99" i="2"/>
  <c r="AR131" i="2"/>
  <c r="AR90" i="2"/>
  <c r="AR96" i="2"/>
  <c r="AR128" i="2"/>
  <c r="AR93" i="2"/>
  <c r="AR125" i="2"/>
  <c r="AR79" i="2"/>
  <c r="AR111" i="2"/>
  <c r="AR70" i="2"/>
  <c r="AR102" i="2"/>
  <c r="AR106" i="2"/>
  <c r="AR122" i="2"/>
  <c r="AR72" i="2"/>
  <c r="AR88" i="2"/>
  <c r="AR104" i="2"/>
  <c r="AR120" i="2"/>
  <c r="AR136" i="2"/>
  <c r="AR85" i="2"/>
  <c r="AR101" i="2"/>
  <c r="AR117" i="2"/>
  <c r="AR133" i="2"/>
  <c r="AR71" i="2"/>
  <c r="AR87" i="2"/>
  <c r="AR103" i="2"/>
  <c r="AR119" i="2"/>
  <c r="AR135" i="2"/>
  <c r="AR78" i="2"/>
  <c r="AR94" i="2"/>
  <c r="AR110" i="2"/>
  <c r="AR126" i="2"/>
  <c r="AR76" i="2"/>
  <c r="AR92" i="2"/>
  <c r="AR108" i="2"/>
  <c r="AR124" i="2"/>
  <c r="AR73" i="2"/>
  <c r="AR89" i="2"/>
  <c r="AR105" i="2"/>
  <c r="AR121" i="2"/>
  <c r="AR137" i="2"/>
  <c r="AR75" i="2"/>
  <c r="AR91" i="2"/>
  <c r="AR107" i="2"/>
  <c r="AR123" i="2"/>
  <c r="AR69" i="2"/>
  <c r="AR82" i="2"/>
  <c r="AR98" i="2"/>
  <c r="AR114" i="2"/>
  <c r="AR130" i="2"/>
  <c r="AR118" i="2"/>
  <c r="AR134" i="2"/>
  <c r="AR66" i="2"/>
  <c r="S61" i="2"/>
  <c r="B273" i="2"/>
  <c r="B274" i="2" s="1"/>
  <c r="C183" i="1"/>
  <c r="N282" i="2" l="1"/>
  <c r="E283" i="2"/>
  <c r="F283" i="2" s="1"/>
  <c r="K283" i="2" s="1"/>
  <c r="L283" i="2" s="1"/>
  <c r="M283" i="2" s="1"/>
  <c r="B259" i="2"/>
  <c r="N283" i="2" l="1"/>
  <c r="E284" i="2"/>
  <c r="F284" i="2" s="1"/>
  <c r="K284" i="2" s="1"/>
  <c r="L284" i="2" s="1"/>
  <c r="M284" i="2" s="1"/>
  <c r="B255" i="2"/>
  <c r="B256" i="2" s="1"/>
  <c r="C204" i="1" s="1"/>
  <c r="N284" i="2" l="1"/>
  <c r="E285" i="2"/>
  <c r="F285" i="2" s="1"/>
  <c r="K285" i="2" s="1"/>
  <c r="L285" i="2" s="1"/>
  <c r="M285" i="2" s="1"/>
  <c r="B257" i="2"/>
  <c r="C220" i="1"/>
  <c r="C219" i="1"/>
  <c r="N285" i="2" l="1"/>
  <c r="E286" i="2"/>
  <c r="F286" i="2" s="1"/>
  <c r="K286" i="2" s="1"/>
  <c r="L286" i="2" s="1"/>
  <c r="M286" i="2" s="1"/>
  <c r="B243" i="2"/>
  <c r="B258" i="2"/>
  <c r="N286" i="2" l="1"/>
  <c r="E287" i="2"/>
  <c r="F287" i="2" s="1"/>
  <c r="K287" i="2" s="1"/>
  <c r="L287" i="2" s="1"/>
  <c r="M287" i="2" s="1"/>
  <c r="C192" i="1"/>
  <c r="C180" i="1"/>
  <c r="C181" i="1" s="1"/>
  <c r="C179" i="1"/>
  <c r="N287" i="2" l="1"/>
  <c r="E288" i="2"/>
  <c r="F288" i="2" s="1"/>
  <c r="C187" i="1"/>
  <c r="C189" i="1"/>
  <c r="K288" i="2" l="1"/>
  <c r="L288" i="2" s="1"/>
  <c r="E289" i="2"/>
  <c r="F289" i="2" s="1"/>
  <c r="C190" i="1"/>
  <c r="C191" i="1" s="1"/>
  <c r="A211" i="1" s="1"/>
  <c r="C144" i="1"/>
  <c r="C143" i="1"/>
  <c r="C154" i="1" s="1"/>
  <c r="M288" i="2" l="1"/>
  <c r="N288" i="2"/>
  <c r="K289" i="2"/>
  <c r="L289" i="2" s="1"/>
  <c r="E290" i="2"/>
  <c r="F290" i="2" s="1"/>
  <c r="A210" i="1"/>
  <c r="C170" i="1"/>
  <c r="M289" i="2" l="1"/>
  <c r="K290" i="2"/>
  <c r="L290" i="2" s="1"/>
  <c r="N289" i="2"/>
  <c r="E291" i="2"/>
  <c r="F291" i="2" s="1"/>
  <c r="C27" i="1"/>
  <c r="B242" i="2" s="1"/>
  <c r="B244" i="2" s="1"/>
  <c r="M290" i="2" l="1"/>
  <c r="N290" i="2"/>
  <c r="K291" i="2"/>
  <c r="L291" i="2" s="1"/>
  <c r="E292" i="2"/>
  <c r="F292" i="2" s="1"/>
  <c r="C49" i="3"/>
  <c r="C48" i="3"/>
  <c r="C47" i="3"/>
  <c r="C42" i="3"/>
  <c r="C43" i="3"/>
  <c r="C38" i="3"/>
  <c r="D220" i="2"/>
  <c r="D221" i="2"/>
  <c r="D222" i="2"/>
  <c r="D223" i="2"/>
  <c r="D224" i="2"/>
  <c r="C184" i="1" s="1"/>
  <c r="C185" i="1" s="1"/>
  <c r="D225" i="2"/>
  <c r="D226" i="2"/>
  <c r="D219" i="2"/>
  <c r="M291" i="2" l="1"/>
  <c r="N291" i="2"/>
  <c r="K292" i="2"/>
  <c r="L292" i="2" s="1"/>
  <c r="E293" i="2"/>
  <c r="F293" i="2" s="1"/>
  <c r="B260" i="2"/>
  <c r="B263" i="2" s="1"/>
  <c r="B261" i="2"/>
  <c r="M292" i="2" l="1"/>
  <c r="N292" i="2"/>
  <c r="K293" i="2"/>
  <c r="L293" i="2" s="1"/>
  <c r="E294" i="2"/>
  <c r="F294" i="2" s="1"/>
  <c r="C205" i="1"/>
  <c r="B266" i="2"/>
  <c r="C209" i="1" s="1"/>
  <c r="B262" i="2"/>
  <c r="M293" i="2" l="1"/>
  <c r="N293" i="2"/>
  <c r="K294" i="2"/>
  <c r="L294" i="2" s="1"/>
  <c r="E295" i="2"/>
  <c r="F295" i="2" s="1"/>
  <c r="B264" i="2"/>
  <c r="C208" i="1" s="1"/>
  <c r="B265" i="2"/>
  <c r="C210" i="1" s="1"/>
  <c r="C211" i="1" s="1"/>
  <c r="C155" i="1"/>
  <c r="M294" i="2" l="1"/>
  <c r="N294" i="2"/>
  <c r="K295" i="2"/>
  <c r="L295" i="2" s="1"/>
  <c r="E296" i="2"/>
  <c r="F296" i="2" s="1"/>
  <c r="C42" i="1"/>
  <c r="M295" i="2" l="1"/>
  <c r="N295" i="2"/>
  <c r="K296" i="2"/>
  <c r="L296" i="2" s="1"/>
  <c r="E297" i="2"/>
  <c r="F297" i="2" s="1"/>
  <c r="C40" i="1"/>
  <c r="M296" i="2" l="1"/>
  <c r="N296" i="2"/>
  <c r="K297" i="2"/>
  <c r="L297" i="2" s="1"/>
  <c r="E298" i="2"/>
  <c r="F298" i="2" s="1"/>
  <c r="C145" i="1"/>
  <c r="C147" i="1" s="1"/>
  <c r="M297" i="2" l="1"/>
  <c r="N297" i="2"/>
  <c r="K298" i="2"/>
  <c r="L298" i="2" s="1"/>
  <c r="E299" i="2"/>
  <c r="F299" i="2" s="1"/>
  <c r="C46" i="3"/>
  <c r="C45" i="3"/>
  <c r="C44" i="3"/>
  <c r="C41" i="3"/>
  <c r="C40" i="3"/>
  <c r="C39" i="3"/>
  <c r="C37" i="3"/>
  <c r="C36" i="3"/>
  <c r="M298" i="2" l="1"/>
  <c r="N298" i="2"/>
  <c r="K299" i="2"/>
  <c r="L299" i="2" s="1"/>
  <c r="E300" i="2"/>
  <c r="F300" i="2" s="1"/>
  <c r="C227" i="1"/>
  <c r="M299" i="2" l="1"/>
  <c r="N299" i="2"/>
  <c r="K300" i="2"/>
  <c r="L300" i="2" s="1"/>
  <c r="E301" i="2"/>
  <c r="F301" i="2" s="1"/>
  <c r="C59" i="1"/>
  <c r="M300" i="2" l="1"/>
  <c r="N300" i="2"/>
  <c r="K301" i="2"/>
  <c r="L301" i="2" s="1"/>
  <c r="E302" i="2"/>
  <c r="F302" i="2" s="1"/>
  <c r="C146" i="1"/>
  <c r="C149" i="1" s="1"/>
  <c r="C150" i="1" s="1"/>
  <c r="M301" i="2" l="1"/>
  <c r="N301" i="2"/>
  <c r="K302" i="2"/>
  <c r="L302" i="2" s="1"/>
  <c r="E303" i="2"/>
  <c r="F303" i="2" s="1"/>
  <c r="C152" i="1"/>
  <c r="C156" i="1"/>
  <c r="C221" i="1"/>
  <c r="C223" i="1" s="1"/>
  <c r="C138" i="1"/>
  <c r="C48" i="1"/>
  <c r="AC66" i="2"/>
  <c r="F66" i="2"/>
  <c r="Z67" i="2"/>
  <c r="AA67" i="2" s="1"/>
  <c r="X67" i="2"/>
  <c r="X68" i="2" s="1"/>
  <c r="X69" i="2" s="1"/>
  <c r="X70" i="2" s="1"/>
  <c r="X71" i="2" s="1"/>
  <c r="X72" i="2" s="1"/>
  <c r="X73" i="2" s="1"/>
  <c r="X74" i="2" s="1"/>
  <c r="X75" i="2" s="1"/>
  <c r="X76" i="2" s="1"/>
  <c r="X77"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5" i="2"/>
  <c r="B75" i="2"/>
  <c r="G75" i="2"/>
  <c r="Y75" i="2"/>
  <c r="A76" i="2"/>
  <c r="B76" i="2"/>
  <c r="G76" i="2"/>
  <c r="Y76" i="2"/>
  <c r="A77" i="2"/>
  <c r="B77" i="2"/>
  <c r="G77" i="2"/>
  <c r="Y77" i="2"/>
  <c r="A78" i="2"/>
  <c r="B78" i="2"/>
  <c r="G78" i="2"/>
  <c r="Y78" i="2"/>
  <c r="A79" i="2"/>
  <c r="B79" i="2"/>
  <c r="G79" i="2"/>
  <c r="Y79" i="2"/>
  <c r="A80" i="2"/>
  <c r="B80" i="2"/>
  <c r="G80" i="2"/>
  <c r="Y80"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66" i="2"/>
  <c r="M302" i="2" l="1"/>
  <c r="N302" i="2"/>
  <c r="K303" i="2"/>
  <c r="L303" i="2" s="1"/>
  <c r="E304" i="2"/>
  <c r="F304" i="2" s="1"/>
  <c r="F67" i="2"/>
  <c r="C68" i="2"/>
  <c r="D68" i="2" s="1"/>
  <c r="E68" i="2" s="1"/>
  <c r="H67" i="2"/>
  <c r="I67" i="2" s="1"/>
  <c r="K67" i="2" s="1"/>
  <c r="AB67" i="2"/>
  <c r="Z68" i="2"/>
  <c r="AE68" i="2" s="1"/>
  <c r="AF68" i="2" s="1"/>
  <c r="AC67" i="2"/>
  <c r="AE67" i="2"/>
  <c r="AF67" i="2" s="1"/>
  <c r="X78" i="2"/>
  <c r="X79" i="2" s="1"/>
  <c r="E67" i="2"/>
  <c r="M303" i="2" l="1"/>
  <c r="N303" i="2"/>
  <c r="K304" i="2"/>
  <c r="L304" i="2" s="1"/>
  <c r="E305" i="2"/>
  <c r="F305" i="2" s="1"/>
  <c r="M67" i="2"/>
  <c r="O67" i="2" s="1"/>
  <c r="S67" i="2" s="1"/>
  <c r="C69" i="2"/>
  <c r="H69" i="2" s="1"/>
  <c r="I69" i="2" s="1"/>
  <c r="F68" i="2"/>
  <c r="H68" i="2"/>
  <c r="I68" i="2" s="1"/>
  <c r="K68" i="2" s="1"/>
  <c r="M68" i="2" s="1"/>
  <c r="O68" i="2" s="1"/>
  <c r="S68" i="2" s="1"/>
  <c r="C70" i="2"/>
  <c r="AH67" i="2"/>
  <c r="AI67" i="2" s="1"/>
  <c r="AK67" i="2" s="1"/>
  <c r="AO67" i="2" s="1"/>
  <c r="Z69" i="2"/>
  <c r="AA68" i="2"/>
  <c r="AB68" i="2" s="1"/>
  <c r="AC68" i="2"/>
  <c r="AH68" i="2" s="1"/>
  <c r="X80" i="2"/>
  <c r="F69" i="2" l="1"/>
  <c r="D69" i="2"/>
  <c r="E69" i="2" s="1"/>
  <c r="M304" i="2"/>
  <c r="N304" i="2"/>
  <c r="K305" i="2"/>
  <c r="L305" i="2" s="1"/>
  <c r="E306" i="2"/>
  <c r="F306" i="2" s="1"/>
  <c r="K69" i="2"/>
  <c r="AI68" i="2"/>
  <c r="AK68" i="2" s="1"/>
  <c r="AO68" i="2" s="1"/>
  <c r="H70" i="2"/>
  <c r="I70" i="2" s="1"/>
  <c r="C71" i="2"/>
  <c r="D70" i="2"/>
  <c r="E70" i="2" s="1"/>
  <c r="F70" i="2"/>
  <c r="AC69" i="2"/>
  <c r="AA69" i="2"/>
  <c r="AB69" i="2" s="1"/>
  <c r="Z70" i="2"/>
  <c r="AE69" i="2"/>
  <c r="AF69" i="2" s="1"/>
  <c r="X81" i="2"/>
  <c r="M69" i="2" l="1"/>
  <c r="O69" i="2" s="1"/>
  <c r="S69" i="2" s="1"/>
  <c r="M305" i="2"/>
  <c r="N305" i="2"/>
  <c r="K306" i="2"/>
  <c r="L306" i="2" s="1"/>
  <c r="E307" i="2"/>
  <c r="F307" i="2" s="1"/>
  <c r="D71" i="2"/>
  <c r="E71" i="2" s="1"/>
  <c r="F71" i="2"/>
  <c r="H71" i="2"/>
  <c r="I71" i="2" s="1"/>
  <c r="K71" i="2" s="1"/>
  <c r="C72" i="2"/>
  <c r="K70" i="2"/>
  <c r="M70" i="2" s="1"/>
  <c r="O70" i="2" s="1"/>
  <c r="S70" i="2" s="1"/>
  <c r="AH69" i="2"/>
  <c r="AI69" i="2" s="1"/>
  <c r="AK69" i="2" s="1"/>
  <c r="AO69" i="2" s="1"/>
  <c r="AC70" i="2"/>
  <c r="AE70" i="2"/>
  <c r="AF70" i="2" s="1"/>
  <c r="Z71" i="2"/>
  <c r="AA70" i="2"/>
  <c r="AB70" i="2" s="1"/>
  <c r="X82" i="2"/>
  <c r="M306" i="2" l="1"/>
  <c r="N306" i="2"/>
  <c r="K307" i="2"/>
  <c r="L307" i="2" s="1"/>
  <c r="E308" i="2"/>
  <c r="F308" i="2" s="1"/>
  <c r="M71" i="2"/>
  <c r="O71" i="2" s="1"/>
  <c r="S71" i="2" s="1"/>
  <c r="C73" i="2"/>
  <c r="D72" i="2"/>
  <c r="E72" i="2" s="1"/>
  <c r="H72" i="2"/>
  <c r="I72" i="2" s="1"/>
  <c r="F72" i="2"/>
  <c r="AC71" i="2"/>
  <c r="AA71" i="2"/>
  <c r="AB71" i="2" s="1"/>
  <c r="Z72" i="2"/>
  <c r="AE71" i="2"/>
  <c r="AF71" i="2" s="1"/>
  <c r="AH70" i="2"/>
  <c r="AI70" i="2" s="1"/>
  <c r="AK70" i="2" s="1"/>
  <c r="AO70" i="2" s="1"/>
  <c r="X83" i="2"/>
  <c r="M307" i="2" l="1"/>
  <c r="N307" i="2"/>
  <c r="K308" i="2"/>
  <c r="L308" i="2" s="1"/>
  <c r="E309" i="2"/>
  <c r="F309" i="2" s="1"/>
  <c r="K72" i="2"/>
  <c r="M72" i="2" s="1"/>
  <c r="O72" i="2" s="1"/>
  <c r="S72" i="2" s="1"/>
  <c r="AH71" i="2"/>
  <c r="AI71" i="2" s="1"/>
  <c r="AK71" i="2" s="1"/>
  <c r="AO71" i="2" s="1"/>
  <c r="F73" i="2"/>
  <c r="C74" i="2"/>
  <c r="D73" i="2"/>
  <c r="E73" i="2" s="1"/>
  <c r="H73" i="2"/>
  <c r="I73" i="2" s="1"/>
  <c r="AC72" i="2"/>
  <c r="Z73" i="2"/>
  <c r="AA72" i="2"/>
  <c r="AB72" i="2" s="1"/>
  <c r="AE72" i="2"/>
  <c r="AF72" i="2" s="1"/>
  <c r="X84" i="2"/>
  <c r="M308" i="2" l="1"/>
  <c r="N308" i="2"/>
  <c r="K309" i="2"/>
  <c r="L309" i="2" s="1"/>
  <c r="E310" i="2"/>
  <c r="F310" i="2" s="1"/>
  <c r="K73" i="2"/>
  <c r="M73" i="2" s="1"/>
  <c r="O73" i="2" s="1"/>
  <c r="S73" i="2" s="1"/>
  <c r="AH72" i="2"/>
  <c r="AI72" i="2" s="1"/>
  <c r="AK72" i="2" s="1"/>
  <c r="AO72" i="2" s="1"/>
  <c r="F74" i="2"/>
  <c r="H74" i="2"/>
  <c r="I74" i="2" s="1"/>
  <c r="C75" i="2"/>
  <c r="D74" i="2"/>
  <c r="E74" i="2" s="1"/>
  <c r="AC73" i="2"/>
  <c r="AA73" i="2"/>
  <c r="AB73" i="2" s="1"/>
  <c r="Z74" i="2"/>
  <c r="AE73" i="2"/>
  <c r="AF73" i="2" s="1"/>
  <c r="X85" i="2"/>
  <c r="M309" i="2" l="1"/>
  <c r="N309" i="2"/>
  <c r="K310" i="2"/>
  <c r="L310" i="2" s="1"/>
  <c r="E311" i="2"/>
  <c r="F311" i="2" s="1"/>
  <c r="AH73" i="2"/>
  <c r="AI73" i="2" s="1"/>
  <c r="AK73" i="2" s="1"/>
  <c r="AO73" i="2" s="1"/>
  <c r="K74" i="2"/>
  <c r="M74" i="2" s="1"/>
  <c r="O74" i="2" s="1"/>
  <c r="S74" i="2" s="1"/>
  <c r="C76" i="2"/>
  <c r="F75" i="2"/>
  <c r="D75" i="2"/>
  <c r="E75" i="2" s="1"/>
  <c r="H75" i="2"/>
  <c r="I75" i="2" s="1"/>
  <c r="AC74" i="2"/>
  <c r="AA74" i="2"/>
  <c r="AB74" i="2" s="1"/>
  <c r="Z75" i="2"/>
  <c r="AE74" i="2"/>
  <c r="AF74" i="2" s="1"/>
  <c r="X86" i="2"/>
  <c r="M310" i="2" l="1"/>
  <c r="N310" i="2"/>
  <c r="K311" i="2"/>
  <c r="L311" i="2" s="1"/>
  <c r="K75" i="2"/>
  <c r="M75" i="2" s="1"/>
  <c r="O75" i="2" s="1"/>
  <c r="S75" i="2" s="1"/>
  <c r="E312" i="2"/>
  <c r="F312" i="2" s="1"/>
  <c r="AH74" i="2"/>
  <c r="AI74" i="2" s="1"/>
  <c r="AK74" i="2" s="1"/>
  <c r="AO74" i="2" s="1"/>
  <c r="D76" i="2"/>
  <c r="E76" i="2" s="1"/>
  <c r="C77" i="2"/>
  <c r="F76" i="2"/>
  <c r="H76" i="2"/>
  <c r="I76" i="2" s="1"/>
  <c r="K76" i="2" s="1"/>
  <c r="AC75" i="2"/>
  <c r="Z76" i="2"/>
  <c r="AA75" i="2"/>
  <c r="AB75" i="2" s="1"/>
  <c r="AE75" i="2"/>
  <c r="AF75" i="2" s="1"/>
  <c r="X87" i="2"/>
  <c r="M311" i="2" l="1"/>
  <c r="N311" i="2"/>
  <c r="K312" i="2"/>
  <c r="L312" i="2" s="1"/>
  <c r="E313" i="2"/>
  <c r="F313" i="2" s="1"/>
  <c r="AH75" i="2"/>
  <c r="AI75" i="2" s="1"/>
  <c r="AK75" i="2" s="1"/>
  <c r="AO75" i="2" s="1"/>
  <c r="M76" i="2"/>
  <c r="O76" i="2" s="1"/>
  <c r="S76" i="2" s="1"/>
  <c r="C78" i="2"/>
  <c r="F77" i="2"/>
  <c r="D77" i="2"/>
  <c r="E77" i="2" s="1"/>
  <c r="H77" i="2"/>
  <c r="I77" i="2" s="1"/>
  <c r="AC76" i="2"/>
  <c r="Z77" i="2"/>
  <c r="AA76" i="2"/>
  <c r="AB76" i="2" s="1"/>
  <c r="AE76" i="2"/>
  <c r="AF76" i="2" s="1"/>
  <c r="X88" i="2"/>
  <c r="M312" i="2" l="1"/>
  <c r="N312" i="2"/>
  <c r="K313" i="2"/>
  <c r="L313" i="2" s="1"/>
  <c r="E314" i="2"/>
  <c r="F314" i="2" s="1"/>
  <c r="AH76" i="2"/>
  <c r="AI76" i="2" s="1"/>
  <c r="AK76" i="2" s="1"/>
  <c r="AO76" i="2" s="1"/>
  <c r="K77" i="2"/>
  <c r="M77" i="2" s="1"/>
  <c r="O77" i="2" s="1"/>
  <c r="S77" i="2" s="1"/>
  <c r="C79" i="2"/>
  <c r="F78" i="2"/>
  <c r="H78" i="2"/>
  <c r="I78" i="2" s="1"/>
  <c r="D78" i="2"/>
  <c r="E78" i="2" s="1"/>
  <c r="AC77" i="2"/>
  <c r="AE77" i="2"/>
  <c r="AF77" i="2" s="1"/>
  <c r="AA77" i="2"/>
  <c r="AB77" i="2" s="1"/>
  <c r="Z78" i="2"/>
  <c r="X89" i="2"/>
  <c r="M313" i="2" l="1"/>
  <c r="N313" i="2"/>
  <c r="K314" i="2"/>
  <c r="L314" i="2" s="1"/>
  <c r="AH77" i="2"/>
  <c r="AI77" i="2" s="1"/>
  <c r="AK77" i="2" s="1"/>
  <c r="AO77" i="2" s="1"/>
  <c r="K78" i="2"/>
  <c r="M78" i="2" s="1"/>
  <c r="O78" i="2" s="1"/>
  <c r="S78" i="2" s="1"/>
  <c r="D79" i="2"/>
  <c r="E79" i="2" s="1"/>
  <c r="C80" i="2"/>
  <c r="F79" i="2"/>
  <c r="H79" i="2"/>
  <c r="I79" i="2" s="1"/>
  <c r="AC78" i="2"/>
  <c r="Z79" i="2"/>
  <c r="AE78" i="2"/>
  <c r="AF78" i="2" s="1"/>
  <c r="AA78" i="2"/>
  <c r="AB78" i="2" s="1"/>
  <c r="X90" i="2"/>
  <c r="M314" i="2" l="1"/>
  <c r="N314" i="2"/>
  <c r="AH78" i="2"/>
  <c r="AI78" i="2" s="1"/>
  <c r="AK78" i="2" s="1"/>
  <c r="AO78" i="2" s="1"/>
  <c r="K79" i="2"/>
  <c r="M79" i="2" s="1"/>
  <c r="O79" i="2" s="1"/>
  <c r="S79" i="2" s="1"/>
  <c r="D80" i="2"/>
  <c r="E80" i="2" s="1"/>
  <c r="C81" i="2"/>
  <c r="F80" i="2"/>
  <c r="H80" i="2"/>
  <c r="I80" i="2" s="1"/>
  <c r="AC79" i="2"/>
  <c r="Z80" i="2"/>
  <c r="AE79" i="2"/>
  <c r="AF79" i="2" s="1"/>
  <c r="AH79" i="2" s="1"/>
  <c r="AA79" i="2"/>
  <c r="AB79" i="2" s="1"/>
  <c r="X91" i="2"/>
  <c r="K80" i="2" l="1"/>
  <c r="M80" i="2" s="1"/>
  <c r="O80" i="2" s="1"/>
  <c r="S80" i="2" s="1"/>
  <c r="AI79" i="2"/>
  <c r="AK79" i="2" s="1"/>
  <c r="AO79" i="2" s="1"/>
  <c r="D81" i="2"/>
  <c r="E81" i="2" s="1"/>
  <c r="F81" i="2"/>
  <c r="H81" i="2"/>
  <c r="I81" i="2" s="1"/>
  <c r="C82" i="2"/>
  <c r="AC80" i="2"/>
  <c r="AE80" i="2"/>
  <c r="AF80" i="2" s="1"/>
  <c r="AA80" i="2"/>
  <c r="AB80" i="2" s="1"/>
  <c r="Z81" i="2"/>
  <c r="X92" i="2"/>
  <c r="AH80" i="2" l="1"/>
  <c r="AI80" i="2" s="1"/>
  <c r="AK80" i="2" s="1"/>
  <c r="AO80" i="2" s="1"/>
  <c r="K81" i="2"/>
  <c r="M81" i="2" s="1"/>
  <c r="O81" i="2" s="1"/>
  <c r="S81" i="2" s="1"/>
  <c r="D82" i="2"/>
  <c r="E82" i="2" s="1"/>
  <c r="F82" i="2"/>
  <c r="C83" i="2"/>
  <c r="H82" i="2"/>
  <c r="I82" i="2" s="1"/>
  <c r="AC81" i="2"/>
  <c r="Z82" i="2"/>
  <c r="AA81" i="2"/>
  <c r="AB81" i="2" s="1"/>
  <c r="AE81" i="2"/>
  <c r="AF81" i="2" s="1"/>
  <c r="X93" i="2"/>
  <c r="AH81" i="2" l="1"/>
  <c r="AI81" i="2" s="1"/>
  <c r="AK81" i="2" s="1"/>
  <c r="AO81" i="2" s="1"/>
  <c r="K82" i="2"/>
  <c r="M82" i="2" s="1"/>
  <c r="O82" i="2" s="1"/>
  <c r="S82" i="2" s="1"/>
  <c r="D83" i="2"/>
  <c r="E83" i="2" s="1"/>
  <c r="C84" i="2"/>
  <c r="F83" i="2"/>
  <c r="H83" i="2"/>
  <c r="I83" i="2" s="1"/>
  <c r="AC82" i="2"/>
  <c r="Z83" i="2"/>
  <c r="AA82" i="2"/>
  <c r="AB82" i="2" s="1"/>
  <c r="AE82" i="2"/>
  <c r="AF82" i="2" s="1"/>
  <c r="X94" i="2"/>
  <c r="AH82" i="2" l="1"/>
  <c r="AI82" i="2" s="1"/>
  <c r="AK82" i="2" s="1"/>
  <c r="AO82" i="2" s="1"/>
  <c r="K83" i="2"/>
  <c r="M83" i="2" s="1"/>
  <c r="O83" i="2" s="1"/>
  <c r="S83" i="2" s="1"/>
  <c r="C85" i="2"/>
  <c r="F84" i="2"/>
  <c r="H84" i="2"/>
  <c r="I84" i="2" s="1"/>
  <c r="D84" i="2"/>
  <c r="E84" i="2" s="1"/>
  <c r="AC83" i="2"/>
  <c r="Z84" i="2"/>
  <c r="AE83" i="2"/>
  <c r="AF83" i="2" s="1"/>
  <c r="AA83" i="2"/>
  <c r="AB83" i="2" s="1"/>
  <c r="X95" i="2"/>
  <c r="AH83" i="2" l="1"/>
  <c r="AI83" i="2" s="1"/>
  <c r="AK83" i="2" s="1"/>
  <c r="AO83" i="2" s="1"/>
  <c r="K84" i="2"/>
  <c r="M84" i="2" s="1"/>
  <c r="O84" i="2" s="1"/>
  <c r="S84" i="2" s="1"/>
  <c r="D85" i="2"/>
  <c r="E85" i="2" s="1"/>
  <c r="F85" i="2"/>
  <c r="C86" i="2"/>
  <c r="H85" i="2"/>
  <c r="I85" i="2" s="1"/>
  <c r="AC84" i="2"/>
  <c r="AA84" i="2"/>
  <c r="AB84" i="2" s="1"/>
  <c r="AE84" i="2"/>
  <c r="AF84" i="2" s="1"/>
  <c r="Z85" i="2"/>
  <c r="X96" i="2"/>
  <c r="K85" i="2" l="1"/>
  <c r="M85" i="2" s="1"/>
  <c r="O85" i="2" s="1"/>
  <c r="S85" i="2" s="1"/>
  <c r="AH84" i="2"/>
  <c r="AI84" i="2" s="1"/>
  <c r="AK84" i="2" s="1"/>
  <c r="AO84" i="2" s="1"/>
  <c r="C87" i="2"/>
  <c r="F86" i="2"/>
  <c r="H86" i="2"/>
  <c r="I86" i="2" s="1"/>
  <c r="D86" i="2"/>
  <c r="E86" i="2" s="1"/>
  <c r="AC85" i="2"/>
  <c r="Z86" i="2"/>
  <c r="AA85" i="2"/>
  <c r="AB85" i="2" s="1"/>
  <c r="AE85" i="2"/>
  <c r="AF85" i="2" s="1"/>
  <c r="X97" i="2"/>
  <c r="AH85" i="2" l="1"/>
  <c r="AI85" i="2" s="1"/>
  <c r="AK85" i="2" s="1"/>
  <c r="AO85" i="2" s="1"/>
  <c r="K86" i="2"/>
  <c r="M86" i="2" s="1"/>
  <c r="O86" i="2" s="1"/>
  <c r="S86" i="2" s="1"/>
  <c r="F87" i="2"/>
  <c r="C88" i="2"/>
  <c r="D87" i="2"/>
  <c r="E87" i="2" s="1"/>
  <c r="H87" i="2"/>
  <c r="I87" i="2" s="1"/>
  <c r="AC86" i="2"/>
  <c r="Z87" i="2"/>
  <c r="AA86" i="2"/>
  <c r="AB86" i="2" s="1"/>
  <c r="AE86" i="2"/>
  <c r="AF86" i="2" s="1"/>
  <c r="AH86" i="2" s="1"/>
  <c r="X98" i="2"/>
  <c r="AI86" i="2" l="1"/>
  <c r="AK86" i="2" s="1"/>
  <c r="AO86" i="2" s="1"/>
  <c r="K87" i="2"/>
  <c r="M87" i="2" s="1"/>
  <c r="O87" i="2" s="1"/>
  <c r="S87" i="2" s="1"/>
  <c r="H88" i="2"/>
  <c r="I88" i="2" s="1"/>
  <c r="D88" i="2"/>
  <c r="E88" i="2" s="1"/>
  <c r="C89" i="2"/>
  <c r="F88" i="2"/>
  <c r="AC87" i="2"/>
  <c r="Z88" i="2"/>
  <c r="AA87" i="2"/>
  <c r="AB87" i="2" s="1"/>
  <c r="AE87" i="2"/>
  <c r="AF87" i="2" s="1"/>
  <c r="X99" i="2"/>
  <c r="AH87" i="2" l="1"/>
  <c r="AI87" i="2" s="1"/>
  <c r="AK87" i="2" s="1"/>
  <c r="AO87" i="2" s="1"/>
  <c r="K88" i="2"/>
  <c r="M88" i="2" s="1"/>
  <c r="O88" i="2" s="1"/>
  <c r="S88" i="2" s="1"/>
  <c r="F89" i="2"/>
  <c r="C90" i="2"/>
  <c r="D89" i="2"/>
  <c r="E89" i="2" s="1"/>
  <c r="H89" i="2"/>
  <c r="I89" i="2" s="1"/>
  <c r="AC88" i="2"/>
  <c r="Z89" i="2"/>
  <c r="AA88" i="2"/>
  <c r="AB88" i="2" s="1"/>
  <c r="AE88" i="2"/>
  <c r="AF88" i="2" s="1"/>
  <c r="AH88" i="2" s="1"/>
  <c r="X100" i="2"/>
  <c r="AI88" i="2" l="1"/>
  <c r="AK88" i="2" s="1"/>
  <c r="AO88" i="2" s="1"/>
  <c r="K89" i="2"/>
  <c r="M89" i="2" s="1"/>
  <c r="O89" i="2" s="1"/>
  <c r="S89" i="2" s="1"/>
  <c r="D90" i="2"/>
  <c r="E90" i="2" s="1"/>
  <c r="C91" i="2"/>
  <c r="F90" i="2"/>
  <c r="H90" i="2"/>
  <c r="I90" i="2" s="1"/>
  <c r="K90" i="2" s="1"/>
  <c r="AC89" i="2"/>
  <c r="Z90" i="2"/>
  <c r="AA89" i="2"/>
  <c r="AB89" i="2" s="1"/>
  <c r="AE89" i="2"/>
  <c r="AF89" i="2" s="1"/>
  <c r="X101" i="2"/>
  <c r="AH89" i="2" l="1"/>
  <c r="AI89" i="2" s="1"/>
  <c r="AK89" i="2" s="1"/>
  <c r="AO89" i="2" s="1"/>
  <c r="M90" i="2"/>
  <c r="O90" i="2" s="1"/>
  <c r="S90" i="2" s="1"/>
  <c r="F91" i="2"/>
  <c r="H91" i="2"/>
  <c r="I91" i="2" s="1"/>
  <c r="K91" i="2" s="1"/>
  <c r="C92" i="2"/>
  <c r="D91" i="2"/>
  <c r="E91" i="2" s="1"/>
  <c r="AC90" i="2"/>
  <c r="AA90" i="2"/>
  <c r="AB90" i="2" s="1"/>
  <c r="AE90" i="2"/>
  <c r="AF90" i="2" s="1"/>
  <c r="Z91" i="2"/>
  <c r="X102" i="2"/>
  <c r="AH90" i="2" l="1"/>
  <c r="AI90" i="2" s="1"/>
  <c r="AK90" i="2" s="1"/>
  <c r="AO90" i="2" s="1"/>
  <c r="M91" i="2"/>
  <c r="O91" i="2" s="1"/>
  <c r="S91" i="2" s="1"/>
  <c r="C93" i="2"/>
  <c r="D92" i="2"/>
  <c r="E92" i="2" s="1"/>
  <c r="F92" i="2"/>
  <c r="H92" i="2"/>
  <c r="I92" i="2" s="1"/>
  <c r="AC91" i="2"/>
  <c r="Z92" i="2"/>
  <c r="AA91" i="2"/>
  <c r="AB91" i="2" s="1"/>
  <c r="AE91" i="2"/>
  <c r="AF91" i="2" s="1"/>
  <c r="X103" i="2"/>
  <c r="K92" i="2" l="1"/>
  <c r="M92" i="2" s="1"/>
  <c r="O92" i="2" s="1"/>
  <c r="S92" i="2" s="1"/>
  <c r="AH91" i="2"/>
  <c r="AI91" i="2" s="1"/>
  <c r="AK91" i="2" s="1"/>
  <c r="AO91" i="2" s="1"/>
  <c r="F93" i="2"/>
  <c r="D93" i="2"/>
  <c r="E93" i="2" s="1"/>
  <c r="H93" i="2"/>
  <c r="I93" i="2" s="1"/>
  <c r="K93" i="2" s="1"/>
  <c r="C94" i="2"/>
  <c r="AC92" i="2"/>
  <c r="Z93" i="2"/>
  <c r="AE92" i="2"/>
  <c r="AF92" i="2" s="1"/>
  <c r="AH92" i="2" s="1"/>
  <c r="AA92" i="2"/>
  <c r="AB92" i="2" s="1"/>
  <c r="X104" i="2"/>
  <c r="M93" i="2" l="1"/>
  <c r="O93" i="2" s="1"/>
  <c r="S93" i="2" s="1"/>
  <c r="AI92" i="2"/>
  <c r="AK92" i="2" s="1"/>
  <c r="AO92" i="2" s="1"/>
  <c r="C95" i="2"/>
  <c r="H94" i="2"/>
  <c r="I94" i="2" s="1"/>
  <c r="D94" i="2"/>
  <c r="E94" i="2" s="1"/>
  <c r="F94" i="2"/>
  <c r="AC93" i="2"/>
  <c r="Z94" i="2"/>
  <c r="AA93" i="2"/>
  <c r="AB93" i="2" s="1"/>
  <c r="AE93" i="2"/>
  <c r="AF93" i="2" s="1"/>
  <c r="X105" i="2"/>
  <c r="AH93" i="2" l="1"/>
  <c r="AI93" i="2" s="1"/>
  <c r="AK93" i="2" s="1"/>
  <c r="AO93" i="2" s="1"/>
  <c r="K94" i="2"/>
  <c r="M94" i="2" s="1"/>
  <c r="O94" i="2" s="1"/>
  <c r="S94" i="2" s="1"/>
  <c r="F95" i="2"/>
  <c r="D95" i="2"/>
  <c r="E95" i="2" s="1"/>
  <c r="C96" i="2"/>
  <c r="H95" i="2"/>
  <c r="I95" i="2" s="1"/>
  <c r="AC94" i="2"/>
  <c r="AA94" i="2"/>
  <c r="AB94" i="2" s="1"/>
  <c r="Z95" i="2"/>
  <c r="AE94" i="2"/>
  <c r="AF94" i="2" s="1"/>
  <c r="AH94" i="2" s="1"/>
  <c r="X106" i="2"/>
  <c r="AI94" i="2" l="1"/>
  <c r="AK94" i="2" s="1"/>
  <c r="AO94" i="2" s="1"/>
  <c r="K95" i="2"/>
  <c r="M95" i="2" s="1"/>
  <c r="O95" i="2" s="1"/>
  <c r="S95" i="2" s="1"/>
  <c r="F96" i="2"/>
  <c r="D96" i="2"/>
  <c r="E96" i="2" s="1"/>
  <c r="C97" i="2"/>
  <c r="H96" i="2"/>
  <c r="I96" i="2" s="1"/>
  <c r="AC95" i="2"/>
  <c r="AA95" i="2"/>
  <c r="AB95" i="2" s="1"/>
  <c r="Z96" i="2"/>
  <c r="AE95" i="2"/>
  <c r="AF95" i="2" s="1"/>
  <c r="X107" i="2"/>
  <c r="AH95" i="2" l="1"/>
  <c r="AI95" i="2" s="1"/>
  <c r="AK95" i="2" s="1"/>
  <c r="AO95" i="2" s="1"/>
  <c r="K96" i="2"/>
  <c r="M96" i="2" s="1"/>
  <c r="O96" i="2" s="1"/>
  <c r="S96" i="2" s="1"/>
  <c r="C98" i="2"/>
  <c r="D97" i="2"/>
  <c r="E97" i="2" s="1"/>
  <c r="H97" i="2"/>
  <c r="I97" i="2" s="1"/>
  <c r="F97" i="2"/>
  <c r="AC96" i="2"/>
  <c r="AA96" i="2"/>
  <c r="AB96" i="2" s="1"/>
  <c r="Z97" i="2"/>
  <c r="AE96" i="2"/>
  <c r="AF96" i="2" s="1"/>
  <c r="AH96" i="2" s="1"/>
  <c r="X108" i="2"/>
  <c r="AI96" i="2" l="1"/>
  <c r="AK96" i="2" s="1"/>
  <c r="AO96" i="2" s="1"/>
  <c r="K97" i="2"/>
  <c r="M97" i="2" s="1"/>
  <c r="O97" i="2" s="1"/>
  <c r="S97" i="2" s="1"/>
  <c r="D98" i="2"/>
  <c r="E98" i="2" s="1"/>
  <c r="C99" i="2"/>
  <c r="F98" i="2"/>
  <c r="H98" i="2"/>
  <c r="I98" i="2" s="1"/>
  <c r="K98" i="2" s="1"/>
  <c r="AC97" i="2"/>
  <c r="AA97" i="2"/>
  <c r="AB97" i="2" s="1"/>
  <c r="AE97" i="2"/>
  <c r="AF97" i="2" s="1"/>
  <c r="Z98" i="2"/>
  <c r="X109" i="2"/>
  <c r="AH97" i="2" l="1"/>
  <c r="AI97" i="2" s="1"/>
  <c r="AK97" i="2" s="1"/>
  <c r="AO97" i="2" s="1"/>
  <c r="M98" i="2"/>
  <c r="O98" i="2" s="1"/>
  <c r="S98" i="2" s="1"/>
  <c r="D99" i="2"/>
  <c r="E99" i="2" s="1"/>
  <c r="H99" i="2"/>
  <c r="I99" i="2" s="1"/>
  <c r="C100" i="2"/>
  <c r="F99" i="2"/>
  <c r="AC98" i="2"/>
  <c r="Z99" i="2"/>
  <c r="AA98" i="2"/>
  <c r="AB98" i="2" s="1"/>
  <c r="AE98" i="2"/>
  <c r="AF98" i="2" s="1"/>
  <c r="X110" i="2"/>
  <c r="K99" i="2" l="1"/>
  <c r="M99" i="2" s="1"/>
  <c r="O99" i="2" s="1"/>
  <c r="S99" i="2" s="1"/>
  <c r="F100" i="2"/>
  <c r="D100" i="2"/>
  <c r="E100" i="2" s="1"/>
  <c r="H100" i="2"/>
  <c r="I100" i="2" s="1"/>
  <c r="C101" i="2"/>
  <c r="AH98" i="2"/>
  <c r="AI98" i="2" s="1"/>
  <c r="AK98" i="2" s="1"/>
  <c r="AO98" i="2" s="1"/>
  <c r="AC99" i="2"/>
  <c r="Z100" i="2"/>
  <c r="AA99" i="2"/>
  <c r="AB99" i="2" s="1"/>
  <c r="AE99" i="2"/>
  <c r="AF99" i="2" s="1"/>
  <c r="X111" i="2"/>
  <c r="K100" i="2" l="1"/>
  <c r="M100" i="2" s="1"/>
  <c r="O100" i="2" s="1"/>
  <c r="S100" i="2" s="1"/>
  <c r="D101" i="2"/>
  <c r="E101" i="2" s="1"/>
  <c r="H101" i="2"/>
  <c r="I101" i="2" s="1"/>
  <c r="F101" i="2"/>
  <c r="C102" i="2"/>
  <c r="AH99" i="2"/>
  <c r="AI99" i="2" s="1"/>
  <c r="AK99" i="2" s="1"/>
  <c r="AO99" i="2" s="1"/>
  <c r="AC100" i="2"/>
  <c r="Z101" i="2"/>
  <c r="AE100" i="2"/>
  <c r="AF100" i="2" s="1"/>
  <c r="AA100" i="2"/>
  <c r="AB100" i="2" s="1"/>
  <c r="X112" i="2"/>
  <c r="K101" i="2" l="1"/>
  <c r="M101" i="2" s="1"/>
  <c r="O101" i="2" s="1"/>
  <c r="S101" i="2" s="1"/>
  <c r="C103" i="2"/>
  <c r="F102" i="2"/>
  <c r="D102" i="2"/>
  <c r="E102" i="2" s="1"/>
  <c r="H102" i="2"/>
  <c r="I102" i="2" s="1"/>
  <c r="AH100" i="2"/>
  <c r="AI100" i="2" s="1"/>
  <c r="AK100" i="2" s="1"/>
  <c r="AO100" i="2" s="1"/>
  <c r="AC101" i="2"/>
  <c r="AA101" i="2"/>
  <c r="AB101" i="2" s="1"/>
  <c r="Z102" i="2"/>
  <c r="AE101" i="2"/>
  <c r="AF101" i="2" s="1"/>
  <c r="X113" i="2"/>
  <c r="K102" i="2" l="1"/>
  <c r="M102" i="2" s="1"/>
  <c r="O102" i="2" s="1"/>
  <c r="S102" i="2" s="1"/>
  <c r="AH101" i="2"/>
  <c r="AI101" i="2" s="1"/>
  <c r="AK101" i="2" s="1"/>
  <c r="AO101" i="2" s="1"/>
  <c r="D103" i="2"/>
  <c r="E103" i="2" s="1"/>
  <c r="C104" i="2"/>
  <c r="H103" i="2"/>
  <c r="I103" i="2" s="1"/>
  <c r="F103" i="2"/>
  <c r="AC102" i="2"/>
  <c r="AE102" i="2"/>
  <c r="AF102" i="2" s="1"/>
  <c r="AH102" i="2" s="1"/>
  <c r="Z103" i="2"/>
  <c r="AA102" i="2"/>
  <c r="AB102" i="2" s="1"/>
  <c r="X114" i="2"/>
  <c r="AI102" i="2" l="1"/>
  <c r="AK102" i="2" s="1"/>
  <c r="AO102" i="2" s="1"/>
  <c r="K103" i="2"/>
  <c r="M103" i="2" s="1"/>
  <c r="O103" i="2" s="1"/>
  <c r="S103" i="2" s="1"/>
  <c r="C105" i="2"/>
  <c r="F104" i="2"/>
  <c r="H104" i="2"/>
  <c r="I104" i="2" s="1"/>
  <c r="D104" i="2"/>
  <c r="E104" i="2" s="1"/>
  <c r="AC103" i="2"/>
  <c r="Z104" i="2"/>
  <c r="AE103" i="2"/>
  <c r="AF103" i="2" s="1"/>
  <c r="AA103" i="2"/>
  <c r="AB103" i="2" s="1"/>
  <c r="X115" i="2"/>
  <c r="K104" i="2" l="1"/>
  <c r="M104" i="2" s="1"/>
  <c r="O104" i="2" s="1"/>
  <c r="S104" i="2" s="1"/>
  <c r="AH103" i="2"/>
  <c r="AI103" i="2" s="1"/>
  <c r="AK103" i="2" s="1"/>
  <c r="AO103" i="2" s="1"/>
  <c r="D105" i="2"/>
  <c r="E105" i="2" s="1"/>
  <c r="F105" i="2"/>
  <c r="C106" i="2"/>
  <c r="H105" i="2"/>
  <c r="I105" i="2" s="1"/>
  <c r="AC104" i="2"/>
  <c r="AA104" i="2"/>
  <c r="AB104" i="2" s="1"/>
  <c r="Z105" i="2"/>
  <c r="AE104" i="2"/>
  <c r="AF104" i="2" s="1"/>
  <c r="X116" i="2"/>
  <c r="K105" i="2" l="1"/>
  <c r="M105" i="2" s="1"/>
  <c r="O105" i="2" s="1"/>
  <c r="S105" i="2" s="1"/>
  <c r="F106" i="2"/>
  <c r="H106" i="2"/>
  <c r="I106" i="2" s="1"/>
  <c r="D106" i="2"/>
  <c r="E106" i="2" s="1"/>
  <c r="C107" i="2"/>
  <c r="AH104" i="2"/>
  <c r="AI104" i="2" s="1"/>
  <c r="AK104" i="2" s="1"/>
  <c r="AO104" i="2" s="1"/>
  <c r="AC105" i="2"/>
  <c r="AA105" i="2"/>
  <c r="AB105" i="2" s="1"/>
  <c r="AE105" i="2"/>
  <c r="AF105" i="2" s="1"/>
  <c r="Z106" i="2"/>
  <c r="X117" i="2"/>
  <c r="K106" i="2" l="1"/>
  <c r="M106" i="2" s="1"/>
  <c r="O106" i="2" s="1"/>
  <c r="S106" i="2" s="1"/>
  <c r="F107" i="2"/>
  <c r="D107" i="2"/>
  <c r="E107" i="2" s="1"/>
  <c r="H107" i="2"/>
  <c r="I107" i="2" s="1"/>
  <c r="C108" i="2"/>
  <c r="AH105" i="2"/>
  <c r="AI105" i="2" s="1"/>
  <c r="AK105" i="2" s="1"/>
  <c r="AO105" i="2" s="1"/>
  <c r="AC106" i="2"/>
  <c r="AA106" i="2"/>
  <c r="AB106" i="2" s="1"/>
  <c r="AE106" i="2"/>
  <c r="AF106" i="2" s="1"/>
  <c r="Z107" i="2"/>
  <c r="X118" i="2"/>
  <c r="K107" i="2" l="1"/>
  <c r="M107" i="2" s="1"/>
  <c r="O107" i="2" s="1"/>
  <c r="S107" i="2" s="1"/>
  <c r="D108" i="2"/>
  <c r="E108" i="2" s="1"/>
  <c r="C109" i="2"/>
  <c r="F108" i="2"/>
  <c r="H108" i="2"/>
  <c r="I108" i="2" s="1"/>
  <c r="AH106" i="2"/>
  <c r="AI106" i="2" s="1"/>
  <c r="AK106" i="2" s="1"/>
  <c r="AO106" i="2" s="1"/>
  <c r="AC107" i="2"/>
  <c r="AA107" i="2"/>
  <c r="AB107" i="2" s="1"/>
  <c r="Z108" i="2"/>
  <c r="AE107" i="2"/>
  <c r="AF107" i="2" s="1"/>
  <c r="X119" i="2"/>
  <c r="K108" i="2" l="1"/>
  <c r="M108" i="2" s="1"/>
  <c r="O108" i="2" s="1"/>
  <c r="S108" i="2" s="1"/>
  <c r="F109" i="2"/>
  <c r="C110" i="2"/>
  <c r="D109" i="2"/>
  <c r="E109" i="2" s="1"/>
  <c r="H109" i="2"/>
  <c r="I109" i="2" s="1"/>
  <c r="AH107" i="2"/>
  <c r="AI107" i="2" s="1"/>
  <c r="AK107" i="2" s="1"/>
  <c r="AO107" i="2" s="1"/>
  <c r="AC108" i="2"/>
  <c r="Z109" i="2"/>
  <c r="AE108" i="2"/>
  <c r="AF108" i="2" s="1"/>
  <c r="AA108" i="2"/>
  <c r="AB108" i="2" s="1"/>
  <c r="X120" i="2"/>
  <c r="K109" i="2" l="1"/>
  <c r="M109" i="2" s="1"/>
  <c r="O109" i="2" s="1"/>
  <c r="S109" i="2" s="1"/>
  <c r="C111" i="2"/>
  <c r="F110" i="2"/>
  <c r="D110" i="2"/>
  <c r="E110" i="2" s="1"/>
  <c r="H110" i="2"/>
  <c r="I110" i="2" s="1"/>
  <c r="AH108" i="2"/>
  <c r="AI108" i="2" s="1"/>
  <c r="AK108" i="2" s="1"/>
  <c r="AO108" i="2" s="1"/>
  <c r="AC109" i="2"/>
  <c r="Z110" i="2"/>
  <c r="AA109" i="2"/>
  <c r="AB109" i="2" s="1"/>
  <c r="AE109" i="2"/>
  <c r="AF109" i="2" s="1"/>
  <c r="X121" i="2"/>
  <c r="K110" i="2" l="1"/>
  <c r="M110" i="2" s="1"/>
  <c r="O110" i="2" s="1"/>
  <c r="S110" i="2" s="1"/>
  <c r="AH109" i="2"/>
  <c r="AI109" i="2" s="1"/>
  <c r="AK109" i="2" s="1"/>
  <c r="AO109" i="2" s="1"/>
  <c r="H111" i="2"/>
  <c r="I111" i="2" s="1"/>
  <c r="D111" i="2"/>
  <c r="E111" i="2" s="1"/>
  <c r="C112" i="2"/>
  <c r="F111" i="2"/>
  <c r="AC110" i="2"/>
  <c r="Z111" i="2"/>
  <c r="AA110" i="2"/>
  <c r="AB110" i="2" s="1"/>
  <c r="AE110" i="2"/>
  <c r="AF110" i="2" s="1"/>
  <c r="X122" i="2"/>
  <c r="AH110" i="2" l="1"/>
  <c r="AI110" i="2" s="1"/>
  <c r="AK110" i="2" s="1"/>
  <c r="AO110" i="2" s="1"/>
  <c r="K111" i="2"/>
  <c r="M111" i="2" s="1"/>
  <c r="O111" i="2" s="1"/>
  <c r="S111" i="2" s="1"/>
  <c r="F112" i="2"/>
  <c r="C113" i="2"/>
  <c r="D112" i="2"/>
  <c r="E112" i="2" s="1"/>
  <c r="H112" i="2"/>
  <c r="I112" i="2" s="1"/>
  <c r="K112" i="2" s="1"/>
  <c r="AC111" i="2"/>
  <c r="Z112" i="2"/>
  <c r="AA111" i="2"/>
  <c r="AB111" i="2" s="1"/>
  <c r="AE111" i="2"/>
  <c r="AF111" i="2" s="1"/>
  <c r="AH111" i="2" s="1"/>
  <c r="X123" i="2"/>
  <c r="M112" i="2" l="1"/>
  <c r="O112" i="2" s="1"/>
  <c r="S112" i="2" s="1"/>
  <c r="AI111" i="2"/>
  <c r="AK111" i="2" s="1"/>
  <c r="AO111" i="2" s="1"/>
  <c r="F113" i="2"/>
  <c r="H113" i="2"/>
  <c r="I113" i="2" s="1"/>
  <c r="C114" i="2"/>
  <c r="D113" i="2"/>
  <c r="E113" i="2" s="1"/>
  <c r="AC112" i="2"/>
  <c r="AA112" i="2"/>
  <c r="AB112" i="2" s="1"/>
  <c r="Z113" i="2"/>
  <c r="AE112" i="2"/>
  <c r="AF112" i="2" s="1"/>
  <c r="X124" i="2"/>
  <c r="K113" i="2" l="1"/>
  <c r="M113" i="2" s="1"/>
  <c r="O113" i="2" s="1"/>
  <c r="S113" i="2" s="1"/>
  <c r="C115" i="2"/>
  <c r="F114" i="2"/>
  <c r="H114" i="2"/>
  <c r="I114" i="2" s="1"/>
  <c r="K114" i="2" s="1"/>
  <c r="D114" i="2"/>
  <c r="E114" i="2" s="1"/>
  <c r="AH112" i="2"/>
  <c r="AI112" i="2" s="1"/>
  <c r="AK112" i="2" s="1"/>
  <c r="AO112" i="2" s="1"/>
  <c r="AC113" i="2"/>
  <c r="Z114" i="2"/>
  <c r="AE113" i="2"/>
  <c r="AF113" i="2" s="1"/>
  <c r="AA113" i="2"/>
  <c r="AB113" i="2" s="1"/>
  <c r="X125" i="2"/>
  <c r="M114" i="2" l="1"/>
  <c r="O114" i="2" s="1"/>
  <c r="S114" i="2" s="1"/>
  <c r="AH113" i="2"/>
  <c r="AI113" i="2" s="1"/>
  <c r="AK113" i="2" s="1"/>
  <c r="AO113" i="2" s="1"/>
  <c r="F115" i="2"/>
  <c r="C116" i="2"/>
  <c r="D115" i="2"/>
  <c r="E115" i="2" s="1"/>
  <c r="H115" i="2"/>
  <c r="I115" i="2" s="1"/>
  <c r="AC114" i="2"/>
  <c r="AA114" i="2"/>
  <c r="AB114" i="2" s="1"/>
  <c r="Z115" i="2"/>
  <c r="AE114" i="2"/>
  <c r="AF114" i="2" s="1"/>
  <c r="X126" i="2"/>
  <c r="K115" i="2" l="1"/>
  <c r="M115" i="2" s="1"/>
  <c r="O115" i="2" s="1"/>
  <c r="S115" i="2" s="1"/>
  <c r="AH114" i="2"/>
  <c r="AI114" i="2" s="1"/>
  <c r="AK114" i="2" s="1"/>
  <c r="AO114" i="2" s="1"/>
  <c r="C117" i="2"/>
  <c r="F116" i="2"/>
  <c r="H116" i="2"/>
  <c r="I116" i="2" s="1"/>
  <c r="D116" i="2"/>
  <c r="E116" i="2" s="1"/>
  <c r="AC115" i="2"/>
  <c r="AA115" i="2"/>
  <c r="AB115" i="2" s="1"/>
  <c r="AE115" i="2"/>
  <c r="AF115" i="2" s="1"/>
  <c r="Z116" i="2"/>
  <c r="X127" i="2"/>
  <c r="K116" i="2" l="1"/>
  <c r="M116" i="2" s="1"/>
  <c r="O116" i="2" s="1"/>
  <c r="S116" i="2" s="1"/>
  <c r="AH115" i="2"/>
  <c r="AI115" i="2" s="1"/>
  <c r="AK115" i="2" s="1"/>
  <c r="AO115" i="2" s="1"/>
  <c r="D117" i="2"/>
  <c r="E117" i="2" s="1"/>
  <c r="C118" i="2"/>
  <c r="F117" i="2"/>
  <c r="H117" i="2"/>
  <c r="I117" i="2" s="1"/>
  <c r="AC116" i="2"/>
  <c r="AA116" i="2"/>
  <c r="AB116" i="2" s="1"/>
  <c r="Z117" i="2"/>
  <c r="AE116" i="2"/>
  <c r="AF116" i="2" s="1"/>
  <c r="X128" i="2"/>
  <c r="K117" i="2" l="1"/>
  <c r="M117" i="2" s="1"/>
  <c r="O117" i="2" s="1"/>
  <c r="S117" i="2" s="1"/>
  <c r="AH116" i="2"/>
  <c r="AI116" i="2" s="1"/>
  <c r="AK116" i="2" s="1"/>
  <c r="AO116" i="2" s="1"/>
  <c r="H118" i="2"/>
  <c r="I118" i="2" s="1"/>
  <c r="C119" i="2"/>
  <c r="D118" i="2"/>
  <c r="E118" i="2" s="1"/>
  <c r="F118" i="2"/>
  <c r="AC117" i="2"/>
  <c r="Z118" i="2"/>
  <c r="AA117" i="2"/>
  <c r="AB117" i="2" s="1"/>
  <c r="AE117" i="2"/>
  <c r="AF117" i="2" s="1"/>
  <c r="X129" i="2"/>
  <c r="AH117" i="2" l="1"/>
  <c r="AI117" i="2" s="1"/>
  <c r="AK117" i="2" s="1"/>
  <c r="AO117" i="2" s="1"/>
  <c r="K118" i="2"/>
  <c r="M118" i="2" s="1"/>
  <c r="O118" i="2" s="1"/>
  <c r="S118" i="2" s="1"/>
  <c r="C120" i="2"/>
  <c r="D119" i="2"/>
  <c r="E119" i="2" s="1"/>
  <c r="F119" i="2"/>
  <c r="H119" i="2"/>
  <c r="I119" i="2" s="1"/>
  <c r="AC118" i="2"/>
  <c r="AA118" i="2"/>
  <c r="AB118" i="2" s="1"/>
  <c r="AE118" i="2"/>
  <c r="AF118" i="2" s="1"/>
  <c r="Z119" i="2"/>
  <c r="X130" i="2"/>
  <c r="AH118" i="2" l="1"/>
  <c r="AI118" i="2" s="1"/>
  <c r="AK118" i="2" s="1"/>
  <c r="AO118" i="2" s="1"/>
  <c r="K119" i="2"/>
  <c r="M119" i="2" s="1"/>
  <c r="O119" i="2" s="1"/>
  <c r="S119" i="2" s="1"/>
  <c r="F120" i="2"/>
  <c r="C121" i="2"/>
  <c r="H120" i="2"/>
  <c r="I120" i="2" s="1"/>
  <c r="D120" i="2"/>
  <c r="E120" i="2" s="1"/>
  <c r="AC119" i="2"/>
  <c r="AA119" i="2"/>
  <c r="AB119" i="2" s="1"/>
  <c r="Z120" i="2"/>
  <c r="AE119" i="2"/>
  <c r="AF119" i="2" s="1"/>
  <c r="X131" i="2"/>
  <c r="G66" i="2"/>
  <c r="AH119" i="2" l="1"/>
  <c r="AI119" i="2" s="1"/>
  <c r="AK119" i="2" s="1"/>
  <c r="AO119" i="2" s="1"/>
  <c r="K120" i="2"/>
  <c r="M120" i="2" s="1"/>
  <c r="O120" i="2" s="1"/>
  <c r="S120" i="2" s="1"/>
  <c r="D121" i="2"/>
  <c r="E121" i="2" s="1"/>
  <c r="C122" i="2"/>
  <c r="F121" i="2"/>
  <c r="H121" i="2"/>
  <c r="I121" i="2" s="1"/>
  <c r="K121" i="2" s="1"/>
  <c r="AC120" i="2"/>
  <c r="AA120" i="2"/>
  <c r="AB120" i="2" s="1"/>
  <c r="AE120" i="2"/>
  <c r="AF120" i="2" s="1"/>
  <c r="Z121" i="2"/>
  <c r="X132" i="2"/>
  <c r="AH120" i="2" l="1"/>
  <c r="AI120" i="2" s="1"/>
  <c r="AK120" i="2" s="1"/>
  <c r="AO120" i="2" s="1"/>
  <c r="M121" i="2"/>
  <c r="O121" i="2" s="1"/>
  <c r="S121" i="2" s="1"/>
  <c r="D122" i="2"/>
  <c r="E122" i="2" s="1"/>
  <c r="F122" i="2"/>
  <c r="C123" i="2"/>
  <c r="H122" i="2"/>
  <c r="I122" i="2" s="1"/>
  <c r="AC121" i="2"/>
  <c r="AA121" i="2"/>
  <c r="AB121" i="2" s="1"/>
  <c r="Z122" i="2"/>
  <c r="AE121" i="2"/>
  <c r="AF121" i="2" s="1"/>
  <c r="X133" i="2"/>
  <c r="K122" i="2" l="1"/>
  <c r="M122" i="2" s="1"/>
  <c r="O122" i="2" s="1"/>
  <c r="S122" i="2" s="1"/>
  <c r="AH121" i="2"/>
  <c r="AI121" i="2" s="1"/>
  <c r="AK121" i="2" s="1"/>
  <c r="AO121" i="2" s="1"/>
  <c r="F123" i="2"/>
  <c r="D123" i="2"/>
  <c r="E123" i="2" s="1"/>
  <c r="H123" i="2"/>
  <c r="I123" i="2" s="1"/>
  <c r="C124" i="2"/>
  <c r="AC122" i="2"/>
  <c r="AA122" i="2"/>
  <c r="AB122" i="2" s="1"/>
  <c r="Z123" i="2"/>
  <c r="AE122" i="2"/>
  <c r="AF122" i="2" s="1"/>
  <c r="X134" i="2"/>
  <c r="AH122" i="2" l="1"/>
  <c r="AI122" i="2" s="1"/>
  <c r="AK122" i="2" s="1"/>
  <c r="AO122" i="2" s="1"/>
  <c r="F124" i="2"/>
  <c r="C125" i="2"/>
  <c r="D124" i="2"/>
  <c r="E124" i="2" s="1"/>
  <c r="H124" i="2"/>
  <c r="I124" i="2" s="1"/>
  <c r="K123" i="2"/>
  <c r="M123" i="2" s="1"/>
  <c r="O123" i="2" s="1"/>
  <c r="S123" i="2" s="1"/>
  <c r="AC123" i="2"/>
  <c r="AA123" i="2"/>
  <c r="AB123" i="2" s="1"/>
  <c r="AE123" i="2"/>
  <c r="AF123" i="2" s="1"/>
  <c r="Z124" i="2"/>
  <c r="X135" i="2"/>
  <c r="K124" i="2" l="1"/>
  <c r="M124" i="2" s="1"/>
  <c r="O124" i="2" s="1"/>
  <c r="S124" i="2" s="1"/>
  <c r="C126" i="2"/>
  <c r="F125" i="2"/>
  <c r="D125" i="2"/>
  <c r="E125" i="2" s="1"/>
  <c r="H125" i="2"/>
  <c r="I125" i="2" s="1"/>
  <c r="AH123" i="2"/>
  <c r="AI123" i="2" s="1"/>
  <c r="AK123" i="2" s="1"/>
  <c r="AO123" i="2" s="1"/>
  <c r="AC124" i="2"/>
  <c r="AA124" i="2"/>
  <c r="AB124" i="2" s="1"/>
  <c r="AE124" i="2"/>
  <c r="AF124" i="2" s="1"/>
  <c r="Z125" i="2"/>
  <c r="X136" i="2"/>
  <c r="AH124" i="2" l="1"/>
  <c r="AI124" i="2" s="1"/>
  <c r="AK124" i="2" s="1"/>
  <c r="AO124" i="2" s="1"/>
  <c r="K125" i="2"/>
  <c r="M125" i="2" s="1"/>
  <c r="O125" i="2" s="1"/>
  <c r="S125" i="2" s="1"/>
  <c r="F126" i="2"/>
  <c r="D126" i="2"/>
  <c r="E126" i="2" s="1"/>
  <c r="C127" i="2"/>
  <c r="H126" i="2"/>
  <c r="I126" i="2" s="1"/>
  <c r="K126" i="2" s="1"/>
  <c r="AC125" i="2"/>
  <c r="Z126" i="2"/>
  <c r="AA125" i="2"/>
  <c r="AB125" i="2" s="1"/>
  <c r="AE125" i="2"/>
  <c r="AF125" i="2" s="1"/>
  <c r="X137" i="2"/>
  <c r="C126" i="1"/>
  <c r="D117" i="1"/>
  <c r="D116" i="1"/>
  <c r="C116" i="1"/>
  <c r="AH125" i="2" l="1"/>
  <c r="AI125" i="2" s="1"/>
  <c r="AK125" i="2" s="1"/>
  <c r="AO125" i="2" s="1"/>
  <c r="M126" i="2"/>
  <c r="O126" i="2" s="1"/>
  <c r="S126" i="2" s="1"/>
  <c r="F127" i="2"/>
  <c r="D127" i="2"/>
  <c r="E127" i="2" s="1"/>
  <c r="C128" i="2"/>
  <c r="H127" i="2"/>
  <c r="I127" i="2" s="1"/>
  <c r="AC126" i="2"/>
  <c r="AA126" i="2"/>
  <c r="AB126" i="2" s="1"/>
  <c r="Z127" i="2"/>
  <c r="AE126" i="2"/>
  <c r="AF126" i="2" s="1"/>
  <c r="C99" i="1"/>
  <c r="C13" i="4" s="1"/>
  <c r="B279" i="2" s="1"/>
  <c r="C95" i="1"/>
  <c r="B281" i="2" l="1"/>
  <c r="AH126" i="2"/>
  <c r="AI126" i="2" s="1"/>
  <c r="AK126" i="2" s="1"/>
  <c r="AO126" i="2" s="1"/>
  <c r="K127" i="2"/>
  <c r="M127" i="2" s="1"/>
  <c r="O127" i="2" s="1"/>
  <c r="S127" i="2" s="1"/>
  <c r="D128" i="2"/>
  <c r="E128" i="2" s="1"/>
  <c r="C129" i="2"/>
  <c r="F128" i="2"/>
  <c r="H128" i="2"/>
  <c r="I128" i="2" s="1"/>
  <c r="AC127" i="2"/>
  <c r="AA127" i="2"/>
  <c r="AB127" i="2" s="1"/>
  <c r="Z128" i="2"/>
  <c r="AE127" i="2"/>
  <c r="AF127" i="2" s="1"/>
  <c r="B194" i="2"/>
  <c r="B193" i="2"/>
  <c r="B192" i="2"/>
  <c r="B191" i="2"/>
  <c r="B190" i="2"/>
  <c r="B189" i="2"/>
  <c r="B188" i="2"/>
  <c r="B187" i="2"/>
  <c r="B186" i="2"/>
  <c r="B185" i="2"/>
  <c r="C98" i="1" s="1"/>
  <c r="B184" i="2"/>
  <c r="B183" i="2"/>
  <c r="B182" i="2"/>
  <c r="B181" i="2"/>
  <c r="B180" i="2"/>
  <c r="B179" i="2"/>
  <c r="B178" i="2"/>
  <c r="C93" i="1" l="1"/>
  <c r="C97" i="1"/>
  <c r="C15" i="4" s="1"/>
  <c r="K128" i="2"/>
  <c r="M128" i="2" s="1"/>
  <c r="O128" i="2" s="1"/>
  <c r="S128" i="2" s="1"/>
  <c r="AH127" i="2"/>
  <c r="AI127" i="2" s="1"/>
  <c r="AK127" i="2" s="1"/>
  <c r="AO127" i="2" s="1"/>
  <c r="C130" i="2"/>
  <c r="D129" i="2"/>
  <c r="E129" i="2" s="1"/>
  <c r="F129" i="2"/>
  <c r="H129" i="2"/>
  <c r="I129" i="2" s="1"/>
  <c r="K129" i="2" s="1"/>
  <c r="AC128" i="2"/>
  <c r="AA128" i="2"/>
  <c r="AB128" i="2" s="1"/>
  <c r="Z129" i="2"/>
  <c r="AE128" i="2"/>
  <c r="AF128" i="2" s="1"/>
  <c r="AA66" i="2"/>
  <c r="Y66" i="2"/>
  <c r="B66" i="2"/>
  <c r="C22" i="4" l="1"/>
  <c r="M129" i="2"/>
  <c r="O129" i="2" s="1"/>
  <c r="S129" i="2" s="1"/>
  <c r="AH128" i="2"/>
  <c r="AI128" i="2" s="1"/>
  <c r="AK128" i="2" s="1"/>
  <c r="AO128" i="2" s="1"/>
  <c r="H130" i="2"/>
  <c r="I130" i="2" s="1"/>
  <c r="D130" i="2"/>
  <c r="E130" i="2" s="1"/>
  <c r="F130" i="2"/>
  <c r="C131" i="2"/>
  <c r="AE66" i="2"/>
  <c r="AF66" i="2" s="1"/>
  <c r="AH66" i="2" s="1"/>
  <c r="AB66" i="2"/>
  <c r="AC129" i="2"/>
  <c r="Z130" i="2"/>
  <c r="AA129" i="2"/>
  <c r="AB129" i="2" s="1"/>
  <c r="AE129" i="2"/>
  <c r="AF129" i="2" s="1"/>
  <c r="K130" i="2" l="1"/>
  <c r="M130" i="2" s="1"/>
  <c r="O130" i="2" s="1"/>
  <c r="S130" i="2" s="1"/>
  <c r="F131" i="2"/>
  <c r="C132" i="2"/>
  <c r="D131" i="2"/>
  <c r="E131" i="2" s="1"/>
  <c r="H131" i="2"/>
  <c r="I131" i="2" s="1"/>
  <c r="AH129" i="2"/>
  <c r="AI129" i="2" s="1"/>
  <c r="AK129" i="2" s="1"/>
  <c r="AO129" i="2" s="1"/>
  <c r="AC130" i="2"/>
  <c r="AA130" i="2"/>
  <c r="AB130" i="2" s="1"/>
  <c r="AE130" i="2"/>
  <c r="AF130" i="2" s="1"/>
  <c r="Z131" i="2"/>
  <c r="AI66" i="2"/>
  <c r="K131" i="2" l="1"/>
  <c r="M131" i="2" s="1"/>
  <c r="O131" i="2" s="1"/>
  <c r="S131" i="2" s="1"/>
  <c r="AH130" i="2"/>
  <c r="AI130" i="2" s="1"/>
  <c r="AK130" i="2" s="1"/>
  <c r="AO130" i="2" s="1"/>
  <c r="C133" i="2"/>
  <c r="H132" i="2"/>
  <c r="I132" i="2" s="1"/>
  <c r="D132" i="2"/>
  <c r="E132" i="2" s="1"/>
  <c r="F132" i="2"/>
  <c r="AC131" i="2"/>
  <c r="AE131" i="2"/>
  <c r="AF131" i="2" s="1"/>
  <c r="AA131" i="2"/>
  <c r="AB131" i="2" s="1"/>
  <c r="Z132" i="2"/>
  <c r="AK66" i="2"/>
  <c r="AO66" i="2" s="1"/>
  <c r="H66" i="2"/>
  <c r="I66" i="2" s="1"/>
  <c r="K66" i="2" s="1"/>
  <c r="D66" i="2"/>
  <c r="E66" i="2" s="1"/>
  <c r="C58" i="1"/>
  <c r="AH131" i="2" l="1"/>
  <c r="AI131" i="2" s="1"/>
  <c r="AK131" i="2" s="1"/>
  <c r="AO131" i="2" s="1"/>
  <c r="M66" i="2"/>
  <c r="O66" i="2" s="1"/>
  <c r="S66" i="2" s="1"/>
  <c r="K132" i="2"/>
  <c r="M132" i="2" s="1"/>
  <c r="O132" i="2" s="1"/>
  <c r="S132" i="2" s="1"/>
  <c r="C134" i="2"/>
  <c r="F133" i="2"/>
  <c r="D133" i="2"/>
  <c r="E133" i="2" s="1"/>
  <c r="H133" i="2"/>
  <c r="I133" i="2" s="1"/>
  <c r="AC132" i="2"/>
  <c r="AA132" i="2"/>
  <c r="AB132" i="2" s="1"/>
  <c r="AE132" i="2"/>
  <c r="AF132" i="2" s="1"/>
  <c r="Z133" i="2"/>
  <c r="K133" i="2" l="1"/>
  <c r="M133" i="2" s="1"/>
  <c r="O133" i="2" s="1"/>
  <c r="S133" i="2" s="1"/>
  <c r="C45" i="1"/>
  <c r="C8" i="4" s="1"/>
  <c r="AH132" i="2"/>
  <c r="AI132" i="2" s="1"/>
  <c r="AK132" i="2" s="1"/>
  <c r="AO132" i="2" s="1"/>
  <c r="H134" i="2"/>
  <c r="I134" i="2" s="1"/>
  <c r="D134" i="2"/>
  <c r="E134" i="2" s="1"/>
  <c r="F134" i="2"/>
  <c r="C135" i="2"/>
  <c r="AC133" i="2"/>
  <c r="Z134" i="2"/>
  <c r="AE133" i="2"/>
  <c r="AF133" i="2" s="1"/>
  <c r="AA133" i="2"/>
  <c r="AB133" i="2" s="1"/>
  <c r="C139" i="1"/>
  <c r="C137" i="1"/>
  <c r="C140" i="1"/>
  <c r="C44" i="1"/>
  <c r="C107" i="1"/>
  <c r="C111" i="1" s="1"/>
  <c r="C100" i="1" l="1"/>
  <c r="C14" i="4" s="1"/>
  <c r="B280" i="2" s="1"/>
  <c r="C91" i="1"/>
  <c r="B245" i="2" s="1"/>
  <c r="K178" i="2"/>
  <c r="M179" i="2" s="1"/>
  <c r="AH133" i="2"/>
  <c r="AI133" i="2" s="1"/>
  <c r="AK133" i="2" s="1"/>
  <c r="AO133" i="2" s="1"/>
  <c r="K134" i="2"/>
  <c r="M134" i="2" s="1"/>
  <c r="O134" i="2" s="1"/>
  <c r="S134" i="2" s="1"/>
  <c r="F135" i="2"/>
  <c r="D135" i="2"/>
  <c r="E135" i="2" s="1"/>
  <c r="C136" i="2"/>
  <c r="H135" i="2"/>
  <c r="I135" i="2" s="1"/>
  <c r="AC134" i="2"/>
  <c r="AA134" i="2"/>
  <c r="AB134" i="2" s="1"/>
  <c r="Z135" i="2"/>
  <c r="AE134" i="2"/>
  <c r="AF134" i="2" s="1"/>
  <c r="U81" i="2"/>
  <c r="U112" i="2"/>
  <c r="U90" i="2"/>
  <c r="U122" i="2"/>
  <c r="U117" i="2"/>
  <c r="U97" i="2"/>
  <c r="U71" i="2"/>
  <c r="U103" i="2"/>
  <c r="U135" i="2"/>
  <c r="U113" i="2"/>
  <c r="U70" i="2"/>
  <c r="U92" i="2"/>
  <c r="U72" i="2"/>
  <c r="U96" i="2"/>
  <c r="U74" i="2"/>
  <c r="U69" i="2"/>
  <c r="U87" i="2"/>
  <c r="U108" i="2"/>
  <c r="U76" i="2"/>
  <c r="U68" i="2"/>
  <c r="U100" i="2"/>
  <c r="U91" i="2"/>
  <c r="U123" i="2"/>
  <c r="U124" i="2"/>
  <c r="U99" i="2"/>
  <c r="U93" i="2"/>
  <c r="U128" i="2"/>
  <c r="U94" i="2"/>
  <c r="U126" i="2"/>
  <c r="U133" i="2"/>
  <c r="U109" i="2"/>
  <c r="U75" i="2"/>
  <c r="U107" i="2"/>
  <c r="U125" i="2"/>
  <c r="U134" i="2"/>
  <c r="U115" i="2"/>
  <c r="U106" i="2"/>
  <c r="U84" i="2"/>
  <c r="U119" i="2"/>
  <c r="U78" i="2"/>
  <c r="U110" i="2"/>
  <c r="U77" i="2"/>
  <c r="U101" i="2"/>
  <c r="U67" i="2"/>
  <c r="U98" i="2"/>
  <c r="U130" i="2"/>
  <c r="U80" i="2"/>
  <c r="U129" i="2"/>
  <c r="U79" i="2"/>
  <c r="U111" i="2"/>
  <c r="U137" i="2"/>
  <c r="U102" i="2"/>
  <c r="U83" i="2"/>
  <c r="U121" i="2"/>
  <c r="U116" i="2"/>
  <c r="U88" i="2"/>
  <c r="U82" i="2"/>
  <c r="U114" i="2"/>
  <c r="U89" i="2"/>
  <c r="U73" i="2"/>
  <c r="U120" i="2"/>
  <c r="U95" i="2"/>
  <c r="U127" i="2"/>
  <c r="U136" i="2"/>
  <c r="U104" i="2"/>
  <c r="U86" i="2"/>
  <c r="U118" i="2"/>
  <c r="U105" i="2"/>
  <c r="U85" i="2"/>
  <c r="U132" i="2"/>
  <c r="U131" i="2"/>
  <c r="C112" i="1"/>
  <c r="B283" i="2" l="1"/>
  <c r="B282" i="2"/>
  <c r="C101" i="1"/>
  <c r="B247" i="2"/>
  <c r="B246" i="2"/>
  <c r="AH134" i="2"/>
  <c r="AI134" i="2" s="1"/>
  <c r="AK134" i="2" s="1"/>
  <c r="AO134" i="2" s="1"/>
  <c r="K199" i="2"/>
  <c r="M200" i="2" s="1"/>
  <c r="K185" i="2"/>
  <c r="M186" i="2" s="1"/>
  <c r="K135" i="2"/>
  <c r="M135" i="2" s="1"/>
  <c r="O135" i="2" s="1"/>
  <c r="S135" i="2" s="1"/>
  <c r="C133" i="1"/>
  <c r="D136" i="2"/>
  <c r="E136" i="2" s="1"/>
  <c r="F136" i="2"/>
  <c r="H136" i="2"/>
  <c r="I136" i="2" s="1"/>
  <c r="C137" i="2"/>
  <c r="AC135" i="2"/>
  <c r="AA135" i="2"/>
  <c r="AB135" i="2" s="1"/>
  <c r="AE135" i="2"/>
  <c r="AF135" i="2" s="1"/>
  <c r="Z136" i="2"/>
  <c r="K192" i="2"/>
  <c r="K194" i="2" s="1"/>
  <c r="K181" i="2"/>
  <c r="C134" i="1"/>
  <c r="C129" i="1"/>
  <c r="K180" i="2"/>
  <c r="B284" i="2" l="1"/>
  <c r="B285" i="2" s="1"/>
  <c r="B288" i="2" s="1"/>
  <c r="B248" i="2"/>
  <c r="B249" i="2" s="1"/>
  <c r="C193" i="1"/>
  <c r="K202" i="2"/>
  <c r="K200" i="2" s="1"/>
  <c r="K201" i="2"/>
  <c r="K136" i="2"/>
  <c r="M136" i="2" s="1"/>
  <c r="O136" i="2" s="1"/>
  <c r="S136" i="2" s="1"/>
  <c r="AH135" i="2"/>
  <c r="AI135" i="2" s="1"/>
  <c r="AK135" i="2" s="1"/>
  <c r="AO135" i="2" s="1"/>
  <c r="F137" i="2"/>
  <c r="D137" i="2"/>
  <c r="E137" i="2" s="1"/>
  <c r="H137" i="2"/>
  <c r="I137" i="2" s="1"/>
  <c r="AC136" i="2"/>
  <c r="Z137" i="2"/>
  <c r="AA136" i="2"/>
  <c r="AB136" i="2" s="1"/>
  <c r="AE136" i="2"/>
  <c r="AF136" i="2" s="1"/>
  <c r="K179" i="2"/>
  <c r="V71" i="2"/>
  <c r="V75" i="2"/>
  <c r="V79" i="2"/>
  <c r="V83" i="2"/>
  <c r="V87" i="2"/>
  <c r="V91" i="2"/>
  <c r="V95" i="2"/>
  <c r="V99" i="2"/>
  <c r="V103" i="2"/>
  <c r="V107" i="2"/>
  <c r="V111" i="2"/>
  <c r="V115" i="2"/>
  <c r="V119" i="2"/>
  <c r="V123" i="2"/>
  <c r="V127" i="2"/>
  <c r="V131" i="2"/>
  <c r="V135" i="2"/>
  <c r="V68" i="2"/>
  <c r="V81" i="2"/>
  <c r="V89" i="2"/>
  <c r="V101" i="2"/>
  <c r="V113" i="2"/>
  <c r="V121" i="2"/>
  <c r="V77" i="2"/>
  <c r="V97" i="2"/>
  <c r="V109" i="2"/>
  <c r="V125" i="2"/>
  <c r="V67" i="2"/>
  <c r="V70" i="2"/>
  <c r="V74" i="2"/>
  <c r="V78" i="2"/>
  <c r="V82" i="2"/>
  <c r="V86" i="2"/>
  <c r="V90" i="2"/>
  <c r="V94" i="2"/>
  <c r="V98" i="2"/>
  <c r="V102" i="2"/>
  <c r="V106" i="2"/>
  <c r="V110" i="2"/>
  <c r="V114" i="2"/>
  <c r="V118" i="2"/>
  <c r="V122" i="2"/>
  <c r="V126" i="2"/>
  <c r="V130" i="2"/>
  <c r="V134" i="2"/>
  <c r="V69" i="2"/>
  <c r="V85" i="2"/>
  <c r="V105" i="2"/>
  <c r="V129" i="2"/>
  <c r="V137" i="2"/>
  <c r="V72" i="2"/>
  <c r="V76" i="2"/>
  <c r="V80" i="2"/>
  <c r="V84" i="2"/>
  <c r="V88" i="2"/>
  <c r="V92" i="2"/>
  <c r="V96" i="2"/>
  <c r="V100" i="2"/>
  <c r="V104" i="2"/>
  <c r="V108" i="2"/>
  <c r="V112" i="2"/>
  <c r="V116" i="2"/>
  <c r="V120" i="2"/>
  <c r="V124" i="2"/>
  <c r="V128" i="2"/>
  <c r="V132" i="2"/>
  <c r="V136" i="2"/>
  <c r="V73" i="2"/>
  <c r="V93" i="2"/>
  <c r="V117" i="2"/>
  <c r="V133" i="2"/>
  <c r="K195" i="2"/>
  <c r="K193" i="2" s="1"/>
  <c r="M193" i="2"/>
  <c r="D126" i="1"/>
  <c r="C104" i="1"/>
  <c r="C105" i="1"/>
  <c r="V66" i="2"/>
  <c r="U66" i="2"/>
  <c r="B286" i="2" l="1"/>
  <c r="G289" i="2"/>
  <c r="P289" i="2" s="1"/>
  <c r="G295" i="2"/>
  <c r="P295" i="2" s="1"/>
  <c r="G297" i="2"/>
  <c r="P297" i="2" s="1"/>
  <c r="G303" i="2"/>
  <c r="P303" i="2" s="1"/>
  <c r="G311" i="2"/>
  <c r="P311" i="2" s="1"/>
  <c r="G313" i="2"/>
  <c r="P313" i="2" s="1"/>
  <c r="C166" i="1"/>
  <c r="K137" i="2"/>
  <c r="M137" i="2" s="1"/>
  <c r="O137" i="2" s="1"/>
  <c r="S137" i="2" s="1"/>
  <c r="AH136" i="2"/>
  <c r="AI136" i="2" s="1"/>
  <c r="AK136" i="2" s="1"/>
  <c r="AO136" i="2" s="1"/>
  <c r="AC137" i="2"/>
  <c r="AE137" i="2"/>
  <c r="AF137" i="2" s="1"/>
  <c r="AA137" i="2"/>
  <c r="AB137" i="2" s="1"/>
  <c r="C108" i="1"/>
  <c r="C109" i="1" s="1"/>
  <c r="K187" i="2"/>
  <c r="K188" i="2"/>
  <c r="K186" i="2" s="1"/>
  <c r="Q295" i="2" l="1"/>
  <c r="R295" i="2"/>
  <c r="Q297" i="2"/>
  <c r="R297" i="2"/>
  <c r="Q311" i="2"/>
  <c r="R311" i="2"/>
  <c r="Q289" i="2"/>
  <c r="R289" i="2"/>
  <c r="R313" i="2"/>
  <c r="Q313" i="2"/>
  <c r="Q303" i="2"/>
  <c r="R303" i="2"/>
  <c r="G309" i="2"/>
  <c r="P309" i="2" s="1"/>
  <c r="G301" i="2"/>
  <c r="G293" i="2"/>
  <c r="P293" i="2" s="1"/>
  <c r="G283" i="2"/>
  <c r="I283" i="2" s="1"/>
  <c r="G291" i="2"/>
  <c r="P291" i="2" s="1"/>
  <c r="G285" i="2"/>
  <c r="P285" i="2" s="1"/>
  <c r="G300" i="2"/>
  <c r="P300" i="2" s="1"/>
  <c r="G282" i="2"/>
  <c r="G280" i="2"/>
  <c r="G314" i="2"/>
  <c r="G312" i="2"/>
  <c r="G310" i="2"/>
  <c r="P310" i="2" s="1"/>
  <c r="G308" i="2"/>
  <c r="G306" i="2"/>
  <c r="G304" i="2"/>
  <c r="G302" i="2"/>
  <c r="P302" i="2" s="1"/>
  <c r="G298" i="2"/>
  <c r="G296" i="2"/>
  <c r="G294" i="2"/>
  <c r="P294" i="2" s="1"/>
  <c r="G292" i="2"/>
  <c r="G290" i="2"/>
  <c r="G288" i="2"/>
  <c r="G286" i="2"/>
  <c r="P286" i="2" s="1"/>
  <c r="G284" i="2"/>
  <c r="G278" i="2"/>
  <c r="G307" i="2"/>
  <c r="G305" i="2"/>
  <c r="G299" i="2"/>
  <c r="G287" i="2"/>
  <c r="G281" i="2"/>
  <c r="G279" i="2"/>
  <c r="I311" i="2"/>
  <c r="H311" i="2"/>
  <c r="H297" i="2"/>
  <c r="I297" i="2"/>
  <c r="I295" i="2"/>
  <c r="H295" i="2"/>
  <c r="I289" i="2"/>
  <c r="H289" i="2"/>
  <c r="I300" i="2"/>
  <c r="H301" i="2"/>
  <c r="H313" i="2"/>
  <c r="I313" i="2"/>
  <c r="H303" i="2"/>
  <c r="I303" i="2"/>
  <c r="C120" i="1"/>
  <c r="C123" i="1" s="1"/>
  <c r="C115" i="1"/>
  <c r="AH137" i="2"/>
  <c r="AI137" i="2" s="1"/>
  <c r="AK137" i="2" s="1"/>
  <c r="AO137" i="2" s="1"/>
  <c r="C159" i="1"/>
  <c r="C225" i="1" s="1"/>
  <c r="C117" i="1"/>
  <c r="C124" i="1"/>
  <c r="C130" i="1"/>
  <c r="H293" i="2" l="1"/>
  <c r="H300" i="2"/>
  <c r="I286" i="2"/>
  <c r="H286" i="2"/>
  <c r="H291" i="2"/>
  <c r="I294" i="2"/>
  <c r="I293" i="2"/>
  <c r="I285" i="2"/>
  <c r="I309" i="2"/>
  <c r="H285" i="2"/>
  <c r="H309" i="2"/>
  <c r="I291" i="2"/>
  <c r="H310" i="2"/>
  <c r="H292" i="2"/>
  <c r="P292" i="2"/>
  <c r="Q286" i="2"/>
  <c r="R286" i="2"/>
  <c r="I312" i="2"/>
  <c r="P312" i="2"/>
  <c r="Q300" i="2"/>
  <c r="R300" i="2"/>
  <c r="R293" i="2"/>
  <c r="Q293" i="2"/>
  <c r="H299" i="2"/>
  <c r="P299" i="2"/>
  <c r="Q302" i="2"/>
  <c r="R302" i="2"/>
  <c r="H282" i="2"/>
  <c r="P282" i="2"/>
  <c r="I302" i="2"/>
  <c r="H279" i="2"/>
  <c r="P279" i="2"/>
  <c r="I305" i="2"/>
  <c r="P305" i="2"/>
  <c r="H304" i="2"/>
  <c r="P304" i="2"/>
  <c r="I292" i="2"/>
  <c r="H302" i="2"/>
  <c r="I281" i="2"/>
  <c r="P281" i="2"/>
  <c r="H307" i="2"/>
  <c r="P307" i="2"/>
  <c r="H288" i="2"/>
  <c r="P288" i="2"/>
  <c r="I296" i="2"/>
  <c r="P296" i="2"/>
  <c r="H306" i="2"/>
  <c r="P306" i="2"/>
  <c r="H314" i="2"/>
  <c r="P314" i="2"/>
  <c r="R285" i="2"/>
  <c r="Q285" i="2"/>
  <c r="I301" i="2"/>
  <c r="P301" i="2"/>
  <c r="I284" i="2"/>
  <c r="P284" i="2"/>
  <c r="Q310" i="2"/>
  <c r="R310" i="2"/>
  <c r="H283" i="2"/>
  <c r="P283" i="2"/>
  <c r="R294" i="2"/>
  <c r="Q294" i="2"/>
  <c r="H284" i="2"/>
  <c r="H294" i="2"/>
  <c r="I310" i="2"/>
  <c r="H287" i="2"/>
  <c r="P287" i="2"/>
  <c r="I278" i="2"/>
  <c r="P278" i="2"/>
  <c r="I290" i="2"/>
  <c r="P290" i="2"/>
  <c r="H298" i="2"/>
  <c r="P298" i="2"/>
  <c r="I308" i="2"/>
  <c r="P308" i="2"/>
  <c r="H280" i="2"/>
  <c r="P280" i="2"/>
  <c r="R291" i="2"/>
  <c r="Q291" i="2"/>
  <c r="Q309" i="2"/>
  <c r="R309" i="2"/>
  <c r="H308" i="2"/>
  <c r="I280" i="2"/>
  <c r="H296" i="2"/>
  <c r="H312" i="2"/>
  <c r="I287" i="2"/>
  <c r="I288" i="2"/>
  <c r="I304" i="2"/>
  <c r="I279" i="2"/>
  <c r="I299" i="2"/>
  <c r="I307" i="2"/>
  <c r="H305" i="2"/>
  <c r="H281" i="2"/>
  <c r="I282" i="2"/>
  <c r="H290" i="2"/>
  <c r="I298" i="2"/>
  <c r="I306" i="2"/>
  <c r="I314" i="2"/>
  <c r="H278" i="2"/>
  <c r="C122" i="1"/>
  <c r="C121" i="1"/>
  <c r="Q280" i="2" l="1"/>
  <c r="R280" i="2"/>
  <c r="R299" i="2"/>
  <c r="Q299" i="2"/>
  <c r="R306" i="2"/>
  <c r="Q306" i="2"/>
  <c r="Q281" i="2"/>
  <c r="R281" i="2"/>
  <c r="R304" i="2"/>
  <c r="Q304" i="2"/>
  <c r="Q279" i="2"/>
  <c r="R279" i="2"/>
  <c r="R278" i="2"/>
  <c r="Q278" i="2"/>
  <c r="R282" i="2"/>
  <c r="Q282" i="2"/>
  <c r="Q283" i="2"/>
  <c r="R283" i="2"/>
  <c r="R288" i="2"/>
  <c r="Q288" i="2"/>
  <c r="R308" i="2"/>
  <c r="Q308" i="2"/>
  <c r="R290" i="2"/>
  <c r="Q290" i="2"/>
  <c r="Q287" i="2"/>
  <c r="R287" i="2"/>
  <c r="R312" i="2"/>
  <c r="Q312" i="2"/>
  <c r="Q292" i="2"/>
  <c r="R292" i="2"/>
  <c r="R298" i="2"/>
  <c r="Q298" i="2"/>
  <c r="R284" i="2"/>
  <c r="Q284" i="2"/>
  <c r="Q301" i="2"/>
  <c r="R301" i="2"/>
  <c r="R314" i="2"/>
  <c r="Q314" i="2"/>
  <c r="Q296" i="2"/>
  <c r="R296" i="2"/>
  <c r="Q307" i="2"/>
  <c r="R307" i="2"/>
  <c r="Q305" i="2"/>
  <c r="R305" i="2"/>
  <c r="C160" i="1"/>
  <c r="C165" i="1" l="1"/>
  <c r="C168" i="1" s="1"/>
  <c r="C171" i="1"/>
  <c r="C212" i="1" l="1"/>
  <c r="C199" i="1"/>
  <c r="C173" i="1"/>
  <c r="C172" i="1"/>
</calcChain>
</file>

<file path=xl/sharedStrings.xml><?xml version="1.0" encoding="utf-8"?>
<sst xmlns="http://schemas.openxmlformats.org/spreadsheetml/2006/main" count="783" uniqueCount="529">
  <si>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</si>
  <si>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</si>
  <si>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</si>
  <si>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</si>
  <si>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</si>
  <si>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</si>
  <si>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</si>
  <si>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</si>
  <si>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</si>
  <si>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</si>
  <si>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</si>
  <si>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</si>
  <si>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ＭＳ Ｐゴシック"/>
        <family val="2"/>
        <scheme val="minor"/>
      </rPr>
      <t>PP</t>
    </r>
  </si>
  <si>
    <r>
      <t>V</t>
    </r>
    <r>
      <rPr>
        <vertAlign val="subscript"/>
        <sz val="11"/>
        <color theme="1"/>
        <rFont val="ＭＳ Ｐゴシック"/>
        <family val="2"/>
        <scheme val="minor"/>
      </rPr>
      <t>BLK(max)</t>
    </r>
  </si>
  <si>
    <r>
      <t>V</t>
    </r>
    <r>
      <rPr>
        <vertAlign val="subscript"/>
        <sz val="11"/>
        <color theme="1"/>
        <rFont val="ＭＳ Ｐゴシック"/>
        <family val="2"/>
        <scheme val="minor"/>
      </rPr>
      <t>BLK(hu)</t>
    </r>
  </si>
  <si>
    <r>
      <t>V</t>
    </r>
    <r>
      <rPr>
        <vertAlign val="subscript"/>
        <sz val="11"/>
        <color theme="1"/>
        <rFont val="ＭＳ Ｐゴシック"/>
        <family val="2"/>
        <scheme val="minor"/>
      </rPr>
      <t>OUT</t>
    </r>
  </si>
  <si>
    <r>
      <t>I</t>
    </r>
    <r>
      <rPr>
        <vertAlign val="subscript"/>
        <sz val="11"/>
        <color theme="1"/>
        <rFont val="ＭＳ Ｐゴシック"/>
        <family val="2"/>
        <scheme val="minor"/>
      </rPr>
      <t>OUT</t>
    </r>
  </si>
  <si>
    <r>
      <t>V</t>
    </r>
    <r>
      <rPr>
        <vertAlign val="subscript"/>
        <sz val="11"/>
        <color theme="1"/>
        <rFont val="ＭＳ Ｐゴシック"/>
        <family val="2"/>
        <scheme val="minor"/>
      </rPr>
      <t>OUT(pk-pk)</t>
    </r>
  </si>
  <si>
    <t>mV</t>
  </si>
  <si>
    <r>
      <t>P</t>
    </r>
    <r>
      <rPr>
        <vertAlign val="subscript"/>
        <sz val="11"/>
        <color theme="1"/>
        <rFont val="ＭＳ Ｐゴシック"/>
        <family val="2"/>
        <scheme val="minor"/>
      </rPr>
      <t>OUT</t>
    </r>
  </si>
  <si>
    <r>
      <t>f</t>
    </r>
    <r>
      <rPr>
        <vertAlign val="subscript"/>
        <sz val="11"/>
        <color theme="1"/>
        <rFont val="ＭＳ Ｐゴシック"/>
        <family val="2"/>
        <scheme val="minor"/>
      </rPr>
      <t>LLC</t>
    </r>
  </si>
  <si>
    <r>
      <t>N</t>
    </r>
    <r>
      <rPr>
        <vertAlign val="subscript"/>
        <sz val="11"/>
        <color theme="1"/>
        <rFont val="ＭＳ Ｐゴシック"/>
        <family val="2"/>
        <scheme val="minor"/>
      </rPr>
      <t>PS</t>
    </r>
  </si>
  <si>
    <r>
      <t>R</t>
    </r>
    <r>
      <rPr>
        <vertAlign val="subscript"/>
        <sz val="11"/>
        <color theme="1"/>
        <rFont val="ＭＳ Ｐゴシック"/>
        <family val="2"/>
        <scheme val="minor"/>
      </rPr>
      <t>E</t>
    </r>
  </si>
  <si>
    <t>Ω</t>
  </si>
  <si>
    <r>
      <t>M</t>
    </r>
    <r>
      <rPr>
        <vertAlign val="subscript"/>
        <sz val="11"/>
        <color theme="1"/>
        <rFont val="ＭＳ Ｐゴシック"/>
        <family val="2"/>
        <scheme val="minor"/>
      </rPr>
      <t>G(min)</t>
    </r>
  </si>
  <si>
    <r>
      <t>V</t>
    </r>
    <r>
      <rPr>
        <vertAlign val="subscript"/>
        <sz val="11"/>
        <color theme="1"/>
        <rFont val="ＭＳ Ｐゴシック"/>
        <family val="2"/>
        <scheme val="minor"/>
      </rPr>
      <t>LOSS</t>
    </r>
  </si>
  <si>
    <r>
      <t>f</t>
    </r>
    <r>
      <rPr>
        <vertAlign val="subscript"/>
        <sz val="11"/>
        <color theme="1"/>
        <rFont val="ＭＳ Ｐゴシック"/>
        <family val="2"/>
        <scheme val="minor"/>
      </rPr>
      <t>0</t>
    </r>
  </si>
  <si>
    <r>
      <t>f</t>
    </r>
    <r>
      <rPr>
        <vertAlign val="subscript"/>
        <sz val="11"/>
        <color theme="1"/>
        <rFont val="ＭＳ Ｐゴシック"/>
        <family val="2"/>
        <scheme val="minor"/>
      </rPr>
      <t>P</t>
    </r>
  </si>
  <si>
    <t>Ln</t>
  </si>
  <si>
    <t>fn</t>
  </si>
  <si>
    <t>Qe</t>
  </si>
  <si>
    <t>Mg_max</t>
  </si>
  <si>
    <t>Mg_min</t>
  </si>
  <si>
    <r>
      <t>L</t>
    </r>
    <r>
      <rPr>
        <vertAlign val="subscript"/>
        <sz val="11"/>
        <color theme="1"/>
        <rFont val="ＭＳ Ｐゴシック"/>
        <family val="2"/>
        <scheme val="minor"/>
      </rPr>
      <t>N</t>
    </r>
  </si>
  <si>
    <r>
      <t>Select L</t>
    </r>
    <r>
      <rPr>
        <b/>
        <vertAlign val="subscript"/>
        <sz val="11"/>
        <color theme="1"/>
        <rFont val="ＭＳ Ｐゴシック"/>
        <family val="2"/>
        <scheme val="minor"/>
      </rPr>
      <t>N</t>
    </r>
    <r>
      <rPr>
        <b/>
        <sz val="11"/>
        <color theme="1"/>
        <rFont val="ＭＳ Ｐゴシック"/>
        <family val="2"/>
        <scheme val="minor"/>
      </rPr>
      <t xml:space="preserve"> and Q</t>
    </r>
    <r>
      <rPr>
        <b/>
        <vertAlign val="subscript"/>
        <sz val="11"/>
        <color theme="1"/>
        <rFont val="ＭＳ Ｐゴシック"/>
        <family val="2"/>
        <scheme val="minor"/>
      </rPr>
      <t>E</t>
    </r>
  </si>
  <si>
    <r>
      <t>Q</t>
    </r>
    <r>
      <rPr>
        <vertAlign val="subscript"/>
        <sz val="11"/>
        <color theme="1"/>
        <rFont val="ＭＳ Ｐゴシック"/>
        <family val="2"/>
        <scheme val="minor"/>
      </rPr>
      <t>E</t>
    </r>
  </si>
  <si>
    <r>
      <t>M</t>
    </r>
    <r>
      <rPr>
        <vertAlign val="subscript"/>
        <sz val="11"/>
        <color theme="1"/>
        <rFont val="ＭＳ Ｐゴシック"/>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</si>
  <si>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</si>
  <si>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</si>
  <si>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</si>
  <si>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</si>
  <si>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</si>
  <si>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</si>
  <si>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</si>
  <si>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</si>
  <si>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</si>
  <si>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</si>
  <si>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ＭＳ Ｐゴシック"/>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</si>
  <si>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</si>
  <si>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</si>
  <si>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</si>
  <si>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</si>
  <si>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</si>
  <si>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</si>
  <si>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</si>
  <si>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</si>
  <si>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</si>
  <si>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</si>
  <si>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</si>
  <si>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</si>
  <si>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</si>
  <si>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</si>
  <si>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</si>
  <si>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</si>
  <si>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</si>
  <si>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</si>
  <si>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</si>
  <si>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</si>
  <si>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</si>
  <si>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</si>
  <si>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</si>
  <si>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</si>
  <si>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</si>
  <si>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ＭＳ Ｐゴシック"/>
        <family val="2"/>
        <scheme val="minor"/>
      </rPr>
      <t>R</t>
    </r>
  </si>
  <si>
    <t>uH</t>
  </si>
  <si>
    <r>
      <t>L</t>
    </r>
    <r>
      <rPr>
        <vertAlign val="subscript"/>
        <sz val="11"/>
        <color theme="1"/>
        <rFont val="ＭＳ Ｐゴシック"/>
        <family val="2"/>
        <scheme val="minor"/>
      </rPr>
      <t>R</t>
    </r>
  </si>
  <si>
    <r>
      <t>C</t>
    </r>
    <r>
      <rPr>
        <vertAlign val="subscript"/>
        <sz val="11"/>
        <color theme="1"/>
        <rFont val="ＭＳ Ｐゴシック"/>
        <family val="2"/>
        <scheme val="minor"/>
      </rPr>
      <t>R(recommended)</t>
    </r>
  </si>
  <si>
    <r>
      <t>L</t>
    </r>
    <r>
      <rPr>
        <vertAlign val="subscript"/>
        <sz val="11"/>
        <color theme="1"/>
        <rFont val="ＭＳ Ｐゴシック"/>
        <family val="2"/>
        <scheme val="minor"/>
      </rPr>
      <t>R(recommended)</t>
    </r>
  </si>
  <si>
    <r>
      <t>L</t>
    </r>
    <r>
      <rPr>
        <vertAlign val="subscript"/>
        <sz val="11"/>
        <color theme="1"/>
        <rFont val="ＭＳ Ｐゴシック"/>
        <family val="2"/>
        <scheme val="minor"/>
      </rPr>
      <t>M(recommended)</t>
    </r>
  </si>
  <si>
    <r>
      <t>L</t>
    </r>
    <r>
      <rPr>
        <vertAlign val="subscript"/>
        <sz val="11"/>
        <color theme="1"/>
        <rFont val="ＭＳ Ｐゴシック"/>
        <family val="2"/>
        <scheme val="minor"/>
      </rPr>
      <t>M</t>
    </r>
  </si>
  <si>
    <r>
      <t>L</t>
    </r>
    <r>
      <rPr>
        <vertAlign val="subscript"/>
        <sz val="11"/>
        <color theme="1"/>
        <rFont val="ＭＳ Ｐゴシック"/>
        <family val="2"/>
        <scheme val="minor"/>
      </rPr>
      <t>N(selected)</t>
    </r>
  </si>
  <si>
    <r>
      <t>Q</t>
    </r>
    <r>
      <rPr>
        <vertAlign val="subscript"/>
        <sz val="11"/>
        <color theme="1"/>
        <rFont val="ＭＳ Ｐゴシック"/>
        <family val="2"/>
        <scheme val="minor"/>
      </rPr>
      <t>E(selected)</t>
    </r>
  </si>
  <si>
    <r>
      <t>R</t>
    </r>
    <r>
      <rPr>
        <vertAlign val="subscript"/>
        <sz val="11"/>
        <color theme="1"/>
        <rFont val="ＭＳ Ｐゴシック"/>
        <family val="2"/>
        <scheme val="minor"/>
      </rPr>
      <t>E(full load)</t>
    </r>
  </si>
  <si>
    <r>
      <t>I</t>
    </r>
    <r>
      <rPr>
        <vertAlign val="subscript"/>
        <sz val="11"/>
        <color theme="1"/>
        <rFont val="ＭＳ Ｐゴシック"/>
        <family val="2"/>
        <scheme val="minor"/>
      </rPr>
      <t>OE</t>
    </r>
  </si>
  <si>
    <t>LLC Primary Side Currents</t>
  </si>
  <si>
    <r>
      <t>f</t>
    </r>
    <r>
      <rPr>
        <vertAlign val="subscript"/>
        <sz val="11"/>
        <color theme="1"/>
        <rFont val="ＭＳ Ｐゴシック"/>
        <family val="2"/>
        <scheme val="minor"/>
      </rPr>
      <t>N(Mg_max)</t>
    </r>
  </si>
  <si>
    <r>
      <t>f</t>
    </r>
    <r>
      <rPr>
        <vertAlign val="subscript"/>
        <sz val="11"/>
        <color theme="1"/>
        <rFont val="ＭＳ Ｐゴシック"/>
        <family val="2"/>
        <scheme val="minor"/>
      </rPr>
      <t>N(Mg_min)</t>
    </r>
  </si>
  <si>
    <r>
      <t>f</t>
    </r>
    <r>
      <rPr>
        <vertAlign val="subscript"/>
        <sz val="11"/>
        <color theme="1"/>
        <rFont val="ＭＳ Ｐゴシック"/>
        <family val="2"/>
        <scheme val="minor"/>
      </rPr>
      <t>SW(max)</t>
    </r>
  </si>
  <si>
    <r>
      <t>f</t>
    </r>
    <r>
      <rPr>
        <vertAlign val="subscript"/>
        <sz val="11"/>
        <color theme="1"/>
        <rFont val="ＭＳ Ｐゴシック"/>
        <family val="2"/>
        <scheme val="minor"/>
      </rPr>
      <t>SW(min)</t>
    </r>
  </si>
  <si>
    <r>
      <t>I</t>
    </r>
    <r>
      <rPr>
        <vertAlign val="subscript"/>
        <sz val="11"/>
        <color theme="1"/>
        <rFont val="ＭＳ Ｐゴシック"/>
        <family val="2"/>
        <scheme val="minor"/>
      </rPr>
      <t>M</t>
    </r>
  </si>
  <si>
    <r>
      <t>I</t>
    </r>
    <r>
      <rPr>
        <vertAlign val="subscript"/>
        <sz val="11"/>
        <color theme="1"/>
        <rFont val="ＭＳ Ｐゴシック"/>
        <family val="2"/>
        <scheme val="minor"/>
      </rPr>
      <t>R</t>
    </r>
  </si>
  <si>
    <t>LLC Secondary Side Currents</t>
  </si>
  <si>
    <r>
      <t>I</t>
    </r>
    <r>
      <rPr>
        <vertAlign val="subscript"/>
        <sz val="11"/>
        <color theme="1"/>
        <rFont val="ＭＳ Ｐゴシック"/>
        <family val="2"/>
        <scheme val="minor"/>
      </rPr>
      <t>OE(S)</t>
    </r>
  </si>
  <si>
    <r>
      <t>I</t>
    </r>
    <r>
      <rPr>
        <vertAlign val="subscript"/>
        <sz val="11"/>
        <color theme="1"/>
        <rFont val="ＭＳ Ｐゴシック"/>
        <family val="2"/>
        <scheme val="minor"/>
      </rPr>
      <t>WS</t>
    </r>
  </si>
  <si>
    <t>LLC Transformer</t>
  </si>
  <si>
    <t>LLC Resonant Inductor</t>
  </si>
  <si>
    <t>LLC Resonant Capacitor</t>
  </si>
  <si>
    <t>If Using Split Resonant Capacitors</t>
  </si>
  <si>
    <t>LLC Primary Side MOSFETs</t>
  </si>
  <si>
    <r>
      <t>V</t>
    </r>
    <r>
      <rPr>
        <vertAlign val="subscript"/>
        <sz val="11"/>
        <color theme="1"/>
        <rFont val="ＭＳ Ｐゴシック"/>
        <family val="2"/>
        <scheme val="minor"/>
      </rPr>
      <t>QLLC(peak)</t>
    </r>
  </si>
  <si>
    <r>
      <t>I</t>
    </r>
    <r>
      <rPr>
        <vertAlign val="subscript"/>
        <sz val="11"/>
        <color theme="1"/>
        <rFont val="ＭＳ Ｐゴシック"/>
        <family val="2"/>
        <scheme val="minor"/>
      </rPr>
      <t>QLLC</t>
    </r>
  </si>
  <si>
    <r>
      <t>V</t>
    </r>
    <r>
      <rPr>
        <vertAlign val="subscript"/>
        <sz val="11"/>
        <color theme="1"/>
        <rFont val="ＭＳ Ｐゴシック"/>
        <family val="2"/>
        <scheme val="minor"/>
      </rPr>
      <t>DB</t>
    </r>
  </si>
  <si>
    <r>
      <t>I</t>
    </r>
    <r>
      <rPr>
        <vertAlign val="subscript"/>
        <sz val="11"/>
        <color theme="1"/>
        <rFont val="ＭＳ Ｐゴシック"/>
        <family val="2"/>
        <scheme val="minor"/>
      </rPr>
      <t>SAV</t>
    </r>
  </si>
  <si>
    <r>
      <t>V</t>
    </r>
    <r>
      <rPr>
        <vertAlign val="subscript"/>
        <sz val="11"/>
        <color theme="1"/>
        <rFont val="ＭＳ Ｐゴシック"/>
        <family val="2"/>
        <scheme val="minor"/>
      </rPr>
      <t>LLCcap</t>
    </r>
  </si>
  <si>
    <r>
      <t>I</t>
    </r>
    <r>
      <rPr>
        <vertAlign val="subscript"/>
        <sz val="11"/>
        <color theme="1"/>
        <rFont val="ＭＳ Ｐゴシック"/>
        <family val="2"/>
        <scheme val="minor"/>
      </rPr>
      <t>C(out)</t>
    </r>
  </si>
  <si>
    <r>
      <t>I</t>
    </r>
    <r>
      <rPr>
        <vertAlign val="subscript"/>
        <sz val="11"/>
        <color theme="1"/>
        <rFont val="ＭＳ Ｐゴシック"/>
        <family val="2"/>
        <scheme val="minor"/>
      </rPr>
      <t>RECT</t>
    </r>
  </si>
  <si>
    <r>
      <t>ESR</t>
    </r>
    <r>
      <rPr>
        <vertAlign val="subscript"/>
        <sz val="11"/>
        <color theme="1"/>
        <rFont val="ＭＳ Ｐゴシック"/>
        <family val="2"/>
        <scheme val="minor"/>
      </rPr>
      <t>max</t>
    </r>
  </si>
  <si>
    <r>
      <t>m</t>
    </r>
    <r>
      <rPr>
        <sz val="11"/>
        <color theme="1"/>
        <rFont val="Calibri"/>
        <family val="2"/>
      </rPr>
      <t>Ω</t>
    </r>
  </si>
  <si>
    <r>
      <t>LLC Output Capacitors, C</t>
    </r>
    <r>
      <rPr>
        <b/>
        <vertAlign val="subscript"/>
        <sz val="11"/>
        <color theme="1"/>
        <rFont val="ＭＳ Ｐゴシック"/>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</si>
  <si>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</si>
  <si>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</si>
  <si>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</si>
  <si>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</si>
  <si>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</si>
  <si>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</si>
  <si>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Enter the actual value of the Resonant Inductor Value used</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</si>
  <si>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</si>
  <si>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</si>
  <si>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</si>
  <si>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</si>
  <si>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</si>
  <si>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</si>
  <si>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</si>
  <si>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</si>
  <si>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</si>
  <si>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r>
      <t>V</t>
    </r>
    <r>
      <rPr>
        <vertAlign val="subscript"/>
        <sz val="11"/>
        <color theme="1"/>
        <rFont val="ＭＳ Ｐゴシック"/>
        <family val="2"/>
        <scheme val="minor"/>
      </rPr>
      <t>BLK(ripple)target</t>
    </r>
  </si>
  <si>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</si>
  <si>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</si>
  <si>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</si>
  <si>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</si>
  <si>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</si>
  <si>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ＭＳ Ｐゴシック"/>
        <family val="2"/>
        <scheme val="minor"/>
      </rPr>
      <t>V</t>
    </r>
    <r>
      <rPr>
        <vertAlign val="subscript"/>
        <sz val="11"/>
        <color theme="1"/>
        <rFont val="ＭＳ Ｐゴシック"/>
        <family val="2"/>
        <scheme val="minor"/>
      </rPr>
      <t>BLK</t>
    </r>
  </si>
  <si>
    <r>
      <t>M</t>
    </r>
    <r>
      <rPr>
        <vertAlign val="subscript"/>
        <sz val="11"/>
        <color theme="1"/>
        <rFont val="ＭＳ Ｐゴシック"/>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</si>
  <si>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</si>
  <si>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</si>
  <si>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</si>
  <si>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ＭＳ Ｐゴシック"/>
        <family val="2"/>
        <scheme val="minor"/>
      </rPr>
      <t>Lr</t>
    </r>
  </si>
  <si>
    <r>
      <t>V</t>
    </r>
    <r>
      <rPr>
        <vertAlign val="subscript"/>
        <sz val="11"/>
        <color theme="1"/>
        <rFont val="ＭＳ Ｐゴシック"/>
        <family val="2"/>
        <scheme val="minor"/>
      </rPr>
      <t>CR</t>
    </r>
  </si>
  <si>
    <r>
      <t>V</t>
    </r>
    <r>
      <rPr>
        <vertAlign val="subscript"/>
        <sz val="11"/>
        <color theme="1"/>
        <rFont val="ＭＳ Ｐゴシック"/>
        <family val="2"/>
        <scheme val="minor"/>
      </rPr>
      <t>CR(rms)</t>
    </r>
  </si>
  <si>
    <r>
      <t>V</t>
    </r>
    <r>
      <rPr>
        <vertAlign val="subscript"/>
        <sz val="11"/>
        <color theme="1"/>
        <rFont val="ＭＳ Ｐゴシック"/>
        <family val="2"/>
        <scheme val="minor"/>
      </rPr>
      <t>CR(peak)</t>
    </r>
  </si>
  <si>
    <r>
      <t>C</t>
    </r>
    <r>
      <rPr>
        <vertAlign val="subscript"/>
        <sz val="11"/>
        <color theme="1"/>
        <rFont val="ＭＳ Ｐゴシック"/>
        <family val="2"/>
        <scheme val="minor"/>
      </rPr>
      <t>R(split)</t>
    </r>
  </si>
  <si>
    <t>BLK</t>
  </si>
  <si>
    <r>
      <t>V</t>
    </r>
    <r>
      <rPr>
        <vertAlign val="subscript"/>
        <sz val="11"/>
        <color theme="1"/>
        <rFont val="ＭＳ Ｐゴシック"/>
        <family val="2"/>
        <scheme val="minor"/>
      </rPr>
      <t>BLKpinstart</t>
    </r>
  </si>
  <si>
    <r>
      <t>V</t>
    </r>
    <r>
      <rPr>
        <vertAlign val="subscript"/>
        <sz val="11"/>
        <color theme="1"/>
        <rFont val="ＭＳ Ｐゴシック"/>
        <family val="2"/>
        <scheme val="minor"/>
      </rPr>
      <t>BLKpinstop</t>
    </r>
  </si>
  <si>
    <r>
      <t>V</t>
    </r>
    <r>
      <rPr>
        <vertAlign val="subscript"/>
        <sz val="11"/>
        <color theme="1"/>
        <rFont val="Calibri"/>
        <family val="2"/>
      </rPr>
      <t>BLKStart</t>
    </r>
  </si>
  <si>
    <r>
      <t>V</t>
    </r>
    <r>
      <rPr>
        <vertAlign val="subscript"/>
        <sz val="11"/>
        <color theme="1"/>
        <rFont val="ＭＳ Ｐゴシック"/>
        <family val="2"/>
        <scheme val="minor"/>
      </rPr>
      <t>BLK</t>
    </r>
  </si>
  <si>
    <r>
      <t>V</t>
    </r>
    <r>
      <rPr>
        <vertAlign val="subscript"/>
        <sz val="11"/>
        <color theme="1"/>
        <rFont val="ＭＳ Ｐゴシック"/>
        <family val="2"/>
        <scheme val="minor"/>
      </rPr>
      <t>BLKstop</t>
    </r>
  </si>
  <si>
    <r>
      <t>k</t>
    </r>
    <r>
      <rPr>
        <vertAlign val="subscript"/>
        <sz val="11"/>
        <color theme="1"/>
        <rFont val="ＭＳ Ｐゴシック"/>
        <family val="2"/>
        <scheme val="minor"/>
      </rPr>
      <t>BLK</t>
    </r>
  </si>
  <si>
    <r>
      <t>P</t>
    </r>
    <r>
      <rPr>
        <vertAlign val="subscript"/>
        <sz val="11"/>
        <color theme="1"/>
        <rFont val="ＭＳ Ｐゴシック"/>
        <family val="2"/>
        <scheme val="minor"/>
      </rPr>
      <t>BLKsns</t>
    </r>
  </si>
  <si>
    <r>
      <t>R</t>
    </r>
    <r>
      <rPr>
        <vertAlign val="subscript"/>
        <sz val="11"/>
        <color theme="1"/>
        <rFont val="ＭＳ Ｐゴシック"/>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</si>
  <si>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</si>
  <si>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</si>
  <si>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</si>
  <si>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</si>
  <si>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</si>
  <si>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</si>
  <si>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</si>
  <si>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</si>
  <si>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</si>
  <si>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</si>
  <si>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</si>
  <si>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</si>
  <si>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</si>
  <si>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</si>
  <si>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</si>
  <si>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</si>
  <si>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</si>
  <si>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</si>
  <si>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</si>
  <si>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</si>
  <si>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</si>
  <si>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</si>
  <si>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</si>
  <si>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</si>
  <si>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</si>
  <si>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</si>
  <si>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</si>
  <si>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</si>
  <si>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</si>
  <si>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</si>
  <si>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maximum allowable input voltage ripple</t>
  </si>
  <si>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</si>
  <si>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</si>
  <si>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</si>
  <si>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</si>
  <si>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</si>
  <si>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</si>
  <si>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</si>
  <si>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</si>
  <si>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</si>
  <si>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</si>
  <si>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</si>
  <si>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</si>
  <si>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</si>
  <si>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ＭＳ Ｐゴシック"/>
        <family val="2"/>
        <scheme val="minor"/>
      </rPr>
      <t>BLKupper</t>
    </r>
  </si>
  <si>
    <r>
      <t>R</t>
    </r>
    <r>
      <rPr>
        <vertAlign val="subscript"/>
        <sz val="11"/>
        <color theme="1"/>
        <rFont val="ＭＳ Ｐゴシック"/>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</si>
  <si>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</si>
  <si>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</si>
  <si>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</si>
  <si>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</si>
  <si>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</si>
  <si>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</si>
  <si>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</si>
  <si>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</si>
  <si>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</si>
  <si>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</si>
  <si>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Transformer Magnetizing Inductance used</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</si>
  <si>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</si>
  <si>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</si>
  <si>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</si>
  <si>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</si>
  <si>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</si>
  <si>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</si>
  <si>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</si>
  <si>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</si>
  <si>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</si>
  <si>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</si>
  <si>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</si>
  <si>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</si>
  <si>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r>
      <t>Maximum V</t>
    </r>
    <r>
      <rPr>
        <vertAlign val="subscript"/>
        <sz val="11"/>
        <color theme="1"/>
        <rFont val="ＭＳ Ｐゴシック"/>
        <family val="2"/>
        <scheme val="minor"/>
      </rPr>
      <t>BLK</t>
    </r>
    <r>
      <rPr>
        <sz val="11"/>
        <color theme="1"/>
        <rFont val="ＭＳ Ｐゴシック"/>
        <family val="2"/>
        <scheme val="minor"/>
      </rPr>
      <t xml:space="preserve"> Ripple (2 x Line Frequency)</t>
    </r>
  </si>
  <si>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</si>
  <si>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</si>
  <si>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</si>
  <si>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</si>
  <si>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</si>
  <si>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</si>
  <si>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</si>
  <si>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</si>
  <si>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</si>
  <si>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</si>
  <si>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</si>
  <si>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</si>
  <si>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</si>
  <si>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ＭＳ Ｐゴシック"/>
        <family val="2"/>
        <scheme val="minor"/>
      </rPr>
      <t>N</t>
    </r>
    <r>
      <rPr>
        <sz val="11"/>
        <color theme="1"/>
        <rFont val="ＭＳ Ｐゴシック"/>
        <family val="2"/>
        <scheme val="minor"/>
      </rPr>
      <t xml:space="preserve"> at Maximum Switching Frequency</t>
    </r>
  </si>
  <si>
    <t>Recommended Resonant Capacitor Value</t>
  </si>
  <si>
    <t>Actual Total Value of Resonant Capacitor Used</t>
  </si>
  <si>
    <t>Recommended Resonant Inductor Value</t>
  </si>
  <si>
    <t>Actual Resonant Inductor Value Used</t>
  </si>
  <si>
    <t>Recommended Transformer Magnetizing Inductance</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</si>
  <si>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</si>
  <si>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</si>
  <si>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</si>
  <si>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</si>
  <si>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</si>
  <si>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ＭＳ Ｐゴシック"/>
        <family val="2"/>
        <scheme val="minor"/>
      </rPr>
      <t>N</t>
    </r>
    <r>
      <rPr>
        <sz val="11"/>
        <color theme="1"/>
        <rFont val="ＭＳ Ｐゴシック"/>
        <family val="2"/>
        <scheme val="minor"/>
      </rPr>
      <t xml:space="preserve"> at M</t>
    </r>
    <r>
      <rPr>
        <vertAlign val="subscript"/>
        <sz val="11"/>
        <color theme="1"/>
        <rFont val="ＭＳ Ｐゴシック"/>
        <family val="2"/>
        <scheme val="minor"/>
      </rPr>
      <t>G(max)</t>
    </r>
  </si>
  <si>
    <r>
      <t>f</t>
    </r>
    <r>
      <rPr>
        <vertAlign val="subscript"/>
        <sz val="11"/>
        <color theme="1"/>
        <rFont val="ＭＳ Ｐゴシック"/>
        <family val="2"/>
        <scheme val="minor"/>
      </rPr>
      <t>N</t>
    </r>
    <r>
      <rPr>
        <sz val="11"/>
        <color theme="1"/>
        <rFont val="ＭＳ Ｐゴシック"/>
        <family val="2"/>
        <scheme val="minor"/>
      </rPr>
      <t xml:space="preserve"> at M</t>
    </r>
    <r>
      <rPr>
        <vertAlign val="subscript"/>
        <sz val="11"/>
        <color theme="1"/>
        <rFont val="ＭＳ Ｐゴシック"/>
        <family val="2"/>
        <scheme val="minor"/>
      </rPr>
      <t>G(min)</t>
    </r>
  </si>
  <si>
    <t>Maximum Switching Frequency</t>
  </si>
  <si>
    <t>Minimum Switching Frequency</t>
  </si>
  <si>
    <t>Primary Side RMS Load Current</t>
  </si>
  <si>
    <r>
      <t>RMS Magnetizing Current at f</t>
    </r>
    <r>
      <rPr>
        <vertAlign val="subscript"/>
        <sz val="11"/>
        <color theme="1"/>
        <rFont val="ＭＳ Ｐゴシック"/>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</si>
  <si>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</si>
  <si>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</si>
  <si>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</si>
  <si>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</si>
  <si>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</si>
  <si>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</si>
  <si>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</si>
  <si>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</si>
  <si>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</si>
  <si>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</si>
  <si>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</si>
  <si>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</si>
  <si>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</si>
  <si>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</si>
  <si>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</si>
  <si>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ＭＳ Ｐゴシック"/>
        <family val="2"/>
        <scheme val="minor"/>
      </rPr>
      <t>OUT</t>
    </r>
    <r>
      <rPr>
        <sz val="11"/>
        <color theme="1"/>
        <rFont val="ＭＳ Ｐゴシック"/>
        <family val="2"/>
        <scheme val="minor"/>
      </rPr>
      <t xml:space="preserve"> Minimum Voltage Rating</t>
    </r>
  </si>
  <si>
    <r>
      <t>C</t>
    </r>
    <r>
      <rPr>
        <vertAlign val="subscript"/>
        <sz val="11"/>
        <color theme="1"/>
        <rFont val="ＭＳ Ｐゴシック"/>
        <family val="2"/>
        <scheme val="minor"/>
      </rPr>
      <t>OUT</t>
    </r>
    <r>
      <rPr>
        <sz val="11"/>
        <color theme="1"/>
        <rFont val="ＭＳ Ｐゴシック"/>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</si>
  <si>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</si>
  <si>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</si>
  <si>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</si>
  <si>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</si>
  <si>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</si>
  <si>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</si>
  <si>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</si>
  <si>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</si>
  <si>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</si>
  <si>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</si>
  <si>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</si>
  <si>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</si>
  <si>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</si>
  <si>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</si>
  <si>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</si>
  <si>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</si>
  <si>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</si>
  <si>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</si>
  <si>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</si>
  <si>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</si>
  <si>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</si>
  <si>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</si>
  <si>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</si>
  <si>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</si>
  <si>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</si>
  <si>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</si>
  <si>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</si>
  <si>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</si>
  <si>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</si>
  <si>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</si>
  <si>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</si>
  <si>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</si>
  <si>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</si>
  <si>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</si>
  <si>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</si>
  <si>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</si>
  <si>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</si>
  <si>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</si>
  <si>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</si>
  <si>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</si>
  <si>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</si>
  <si>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</si>
  <si>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</si>
  <si>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</si>
  <si>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</si>
  <si>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</si>
  <si>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</si>
  <si>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</si>
  <si>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</si>
  <si>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</si>
  <si>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ＭＳ Ｐゴシック"/>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</si>
  <si>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</si>
  <si>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</si>
  <si>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</si>
  <si>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</si>
  <si>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</si>
  <si>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ＭＳ Ｐゴシック"/>
        <family val="2"/>
        <scheme val="minor"/>
      </rPr>
      <t>PB</t>
    </r>
  </si>
  <si>
    <r>
      <t>N</t>
    </r>
    <r>
      <rPr>
        <vertAlign val="subscript"/>
        <sz val="11"/>
        <color theme="1"/>
        <rFont val="ＭＳ Ｐゴシック"/>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</si>
  <si>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</si>
  <si>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</si>
  <si>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</si>
  <si>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</si>
  <si>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</si>
  <si>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</si>
  <si>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ＭＳ Ｐゴシック"/>
        <family val="2"/>
        <scheme val="minor"/>
      </rPr>
      <t>OUT</t>
    </r>
    <r>
      <rPr>
        <sz val="11"/>
        <color theme="1"/>
        <rFont val="ＭＳ Ｐゴシック"/>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</si>
  <si>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</si>
  <si>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</si>
  <si>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</si>
  <si>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</si>
  <si>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</si>
  <si>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</si>
  <si>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</si>
  <si>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</si>
  <si>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</si>
  <si>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</si>
  <si>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</si>
  <si>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</si>
  <si>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</si>
  <si>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</si>
  <si>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</si>
  <si>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</si>
  <si>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</si>
  <si>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</si>
  <si>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</si>
  <si>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</si>
  <si>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</si>
  <si>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</si>
  <si>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</si>
  <si>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</si>
  <si>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</si>
  <si>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</si>
  <si>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</si>
  <si>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</si>
  <si>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</si>
  <si>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</si>
  <si>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</si>
  <si>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</si>
  <si>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</si>
  <si>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</si>
  <si>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</si>
  <si>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</si>
  <si>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</si>
  <si>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</si>
  <si>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</si>
  <si>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</si>
  <si>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</si>
  <si>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</si>
  <si>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</si>
  <si>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</si>
  <si>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</si>
  <si>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</si>
  <si>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</si>
  <si>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</si>
  <si>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</si>
  <si>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</si>
  <si>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</si>
  <si>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</si>
  <si>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</si>
  <si>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</si>
  <si>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</si>
  <si>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</si>
  <si>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</si>
  <si>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</si>
  <si>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</si>
  <si>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</si>
  <si>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</si>
  <si>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</si>
  <si>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</si>
  <si>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</si>
  <si>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</si>
  <si>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</si>
  <si>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</si>
  <si>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</si>
  <si>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</si>
  <si>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</si>
  <si>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</si>
  <si>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</si>
  <si>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</si>
  <si>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</si>
  <si>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</si>
  <si>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</si>
  <si>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L</t>
    </r>
    <r>
      <rPr>
        <vertAlign val="subscript"/>
        <sz val="11"/>
        <rFont val="ＭＳ Ｐゴシック"/>
        <family val="2"/>
        <scheme val="minor"/>
      </rPr>
      <t>N(selected)</t>
    </r>
    <r>
      <rPr>
        <sz val="11"/>
        <rFont val="ＭＳ Ｐゴシック"/>
        <family val="2"/>
        <scheme val="minor"/>
      </rPr>
      <t xml:space="preserve"> cell above to see the actual normalized frequency at M</t>
    </r>
    <r>
      <rPr>
        <vertAlign val="subscript"/>
        <sz val="11"/>
        <rFont val="ＭＳ Ｐゴシック"/>
        <family val="2"/>
        <scheme val="minor"/>
      </rPr>
      <t>G(max)</t>
    </r>
    <r>
      <rPr>
        <sz val="11"/>
        <rFont val="ＭＳ Ｐゴシック"/>
        <family val="2"/>
        <scheme val="minor"/>
      </rPr>
      <t xml:space="preserve"> and M</t>
    </r>
    <r>
      <rPr>
        <vertAlign val="subscript"/>
        <sz val="11"/>
        <rFont val="ＭＳ Ｐゴシック"/>
        <family val="2"/>
        <scheme val="minor"/>
      </rPr>
      <t>G(min)</t>
    </r>
  </si>
  <si>
    <r>
      <t>Re-enter this value in the Q</t>
    </r>
    <r>
      <rPr>
        <vertAlign val="subscript"/>
        <sz val="11"/>
        <rFont val="ＭＳ Ｐゴシック"/>
        <family val="2"/>
        <scheme val="minor"/>
      </rPr>
      <t>E(selected)</t>
    </r>
    <r>
      <rPr>
        <sz val="11"/>
        <rFont val="ＭＳ Ｐゴシック"/>
        <family val="2"/>
        <scheme val="minor"/>
      </rPr>
      <t xml:space="preserve"> cell above to see the actual normalized frequency at M</t>
    </r>
    <r>
      <rPr>
        <vertAlign val="subscript"/>
        <sz val="11"/>
        <rFont val="ＭＳ Ｐゴシック"/>
        <family val="2"/>
        <scheme val="minor"/>
      </rPr>
      <t>G(max)</t>
    </r>
    <r>
      <rPr>
        <sz val="11"/>
        <rFont val="ＭＳ Ｐゴシック"/>
        <family val="2"/>
        <scheme val="minor"/>
      </rPr>
      <t xml:space="preserve"> and M</t>
    </r>
    <r>
      <rPr>
        <vertAlign val="subscript"/>
        <sz val="11"/>
        <rFont val="ＭＳ Ｐゴシック"/>
        <family val="2"/>
        <scheme val="minor"/>
      </rPr>
      <t>G(min)</t>
    </r>
  </si>
  <si>
    <r>
      <t>Enter f</t>
    </r>
    <r>
      <rPr>
        <vertAlign val="subscript"/>
        <sz val="11"/>
        <rFont val="ＭＳ Ｐゴシック"/>
        <family val="2"/>
        <scheme val="minor"/>
      </rPr>
      <t>N</t>
    </r>
    <r>
      <rPr>
        <sz val="11"/>
        <rFont val="ＭＳ Ｐゴシック"/>
        <family val="2"/>
        <scheme val="minor"/>
      </rPr>
      <t xml:space="preserve"> value at the second intersection of the M</t>
    </r>
    <r>
      <rPr>
        <vertAlign val="subscript"/>
        <sz val="11"/>
        <rFont val="ＭＳ Ｐゴシック"/>
        <family val="2"/>
        <scheme val="minor"/>
      </rPr>
      <t>G(max)</t>
    </r>
    <r>
      <rPr>
        <sz val="11"/>
        <rFont val="ＭＳ Ｐゴシック"/>
        <family val="2"/>
        <scheme val="minor"/>
      </rPr>
      <t xml:space="preserve"> line and LLC Gain Curve shown in figure above</t>
    </r>
  </si>
  <si>
    <r>
      <t>Enter f</t>
    </r>
    <r>
      <rPr>
        <vertAlign val="subscript"/>
        <sz val="11"/>
        <rFont val="ＭＳ Ｐゴシック"/>
        <family val="2"/>
        <scheme val="minor"/>
      </rPr>
      <t>N</t>
    </r>
    <r>
      <rPr>
        <sz val="11"/>
        <rFont val="ＭＳ Ｐゴシック"/>
        <family val="2"/>
        <scheme val="minor"/>
      </rPr>
      <t xml:space="preserve"> value at the second intersection of the M</t>
    </r>
    <r>
      <rPr>
        <vertAlign val="subscript"/>
        <sz val="11"/>
        <rFont val="ＭＳ Ｐゴシック"/>
        <family val="2"/>
        <scheme val="minor"/>
      </rPr>
      <t>G(min)</t>
    </r>
    <r>
      <rPr>
        <sz val="11"/>
        <rFont val="ＭＳ Ｐゴシック"/>
        <family val="2"/>
        <scheme val="minor"/>
      </rPr>
      <t xml:space="preserve"> line and LLC Gain Curve shown in figure above</t>
    </r>
  </si>
  <si>
    <r>
      <t>Enter the current sense capacitor value such that the calculated R</t>
    </r>
    <r>
      <rPr>
        <vertAlign val="subscript"/>
        <sz val="11"/>
        <rFont val="ＭＳ Ｐゴシック"/>
        <family val="2"/>
        <scheme val="minor"/>
      </rPr>
      <t>ISNS</t>
    </r>
    <r>
      <rPr>
        <sz val="11"/>
        <rFont val="ＭＳ Ｐゴシック"/>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</si>
  <si>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</si>
  <si>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</si>
  <si>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</si>
  <si>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</si>
  <si>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</si>
  <si>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</si>
  <si>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</si>
  <si>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ＭＳ Ｐゴシック"/>
        <family val="2"/>
        <scheme val="minor"/>
      </rPr>
      <t>ssinit</t>
    </r>
    <r>
      <rPr>
        <sz val="11"/>
        <color theme="1"/>
        <rFont val="ＭＳ Ｐゴシック"/>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</si>
  <si>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</si>
  <si>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</si>
  <si>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</si>
  <si>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</si>
  <si>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</si>
  <si>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</si>
  <si>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</si>
  <si>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</si>
  <si>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</si>
  <si>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</si>
  <si>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</si>
  <si>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</si>
  <si>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</si>
  <si>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</si>
  <si>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</si>
  <si>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</si>
  <si>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</si>
  <si>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</si>
  <si>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</si>
  <si>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</si>
  <si>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ＭＳ Ｐゴシック"/>
        <family val="2"/>
        <scheme val="minor"/>
      </rPr>
      <t>L</t>
    </r>
  </si>
  <si>
    <t>Re</t>
  </si>
  <si>
    <r>
      <t>C</t>
    </r>
    <r>
      <rPr>
        <vertAlign val="subscript"/>
        <sz val="11"/>
        <color theme="1"/>
        <rFont val="ＭＳ Ｐゴシック"/>
        <family val="2"/>
        <scheme val="minor"/>
      </rPr>
      <t>OUT</t>
    </r>
  </si>
  <si>
    <r>
      <t>R</t>
    </r>
    <r>
      <rPr>
        <vertAlign val="subscript"/>
        <sz val="11"/>
        <color theme="1"/>
        <rFont val="ＭＳ Ｐゴシック"/>
        <family val="2"/>
        <scheme val="minor"/>
      </rPr>
      <t>ESR</t>
    </r>
  </si>
  <si>
    <r>
      <t>m</t>
    </r>
    <r>
      <rPr>
        <sz val="11"/>
        <color theme="1"/>
        <rFont val="Calibri"/>
        <family val="2"/>
      </rPr>
      <t>Ω</t>
    </r>
  </si>
  <si>
    <t>η</t>
  </si>
  <si>
    <t>Power Stage Gain at Nominal Input Voltage</t>
  </si>
  <si>
    <r>
      <t>M</t>
    </r>
    <r>
      <rPr>
        <vertAlign val="subscript"/>
        <sz val="11"/>
        <color theme="1"/>
        <rFont val="ＭＳ Ｐゴシック"/>
        <family val="2"/>
        <scheme val="minor"/>
      </rPr>
      <t>G(nom)</t>
    </r>
  </si>
  <si>
    <t>search value</t>
  </si>
  <si>
    <t>closest value</t>
  </si>
  <si>
    <r>
      <t>f</t>
    </r>
    <r>
      <rPr>
        <vertAlign val="subscript"/>
        <sz val="11"/>
        <color theme="1"/>
        <rFont val="ＭＳ Ｐゴシック"/>
        <family val="2"/>
        <scheme val="minor"/>
      </rPr>
      <t>N</t>
    </r>
    <r>
      <rPr>
        <sz val="11"/>
        <color theme="1"/>
        <rFont val="ＭＳ Ｐゴシック"/>
        <family val="2"/>
        <scheme val="minor"/>
      </rPr>
      <t xml:space="preserve"> at M</t>
    </r>
    <r>
      <rPr>
        <vertAlign val="subscript"/>
        <sz val="11"/>
        <color theme="1"/>
        <rFont val="ＭＳ Ｐゴシック"/>
        <family val="2"/>
        <scheme val="minor"/>
      </rPr>
      <t>G(nom)</t>
    </r>
  </si>
  <si>
    <r>
      <t>f</t>
    </r>
    <r>
      <rPr>
        <vertAlign val="subscript"/>
        <sz val="11"/>
        <color theme="1"/>
        <rFont val="ＭＳ Ｐゴシック"/>
        <family val="2"/>
        <scheme val="minor"/>
      </rPr>
      <t>N(Mg_nom)</t>
    </r>
  </si>
  <si>
    <t>Nominal Switching Frequency</t>
  </si>
  <si>
    <r>
      <t>f</t>
    </r>
    <r>
      <rPr>
        <vertAlign val="subscript"/>
        <sz val="11"/>
        <color theme="1"/>
        <rFont val="ＭＳ Ｐゴシック"/>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</si>
  <si>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</si>
  <si>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</si>
  <si>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</si>
  <si>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</si>
  <si>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</si>
  <si>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</si>
  <si>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ＭＳ Ｐゴシック"/>
        <family val="2"/>
        <scheme val="minor"/>
      </rPr>
      <t>N</t>
    </r>
    <r>
      <rPr>
        <sz val="11"/>
        <rFont val="ＭＳ Ｐゴシック"/>
        <family val="2"/>
        <scheme val="minor"/>
      </rPr>
      <t xml:space="preserve"> value at the second intersection of the M</t>
    </r>
    <r>
      <rPr>
        <vertAlign val="subscript"/>
        <sz val="11"/>
        <rFont val="ＭＳ Ｐゴシック"/>
        <family val="2"/>
        <scheme val="minor"/>
      </rPr>
      <t>G(nom)</t>
    </r>
    <r>
      <rPr>
        <sz val="11"/>
        <rFont val="ＭＳ Ｐゴシック"/>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</si>
  <si>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</si>
  <si>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</si>
  <si>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</si>
  <si>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</si>
  <si>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</si>
  <si>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</si>
  <si>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</si>
  <si>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</si>
  <si>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</si>
  <si>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</si>
  <si>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</si>
  <si>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</si>
  <si>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</si>
  <si>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</si>
  <si>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 with Zener</t>
  </si>
  <si>
    <t>Type III with Inner Loop</t>
  </si>
  <si>
    <t>Type III with Zener</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</si>
  <si>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</si>
  <si>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</si>
  <si>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</si>
  <si>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</si>
  <si>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</si>
  <si>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</si>
  <si>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</si>
  <si>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</si>
  <si>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ＭＳ Ｐゴシック"/>
        <family val="2"/>
        <scheme val="minor"/>
      </rPr>
      <t>FBT</t>
    </r>
  </si>
  <si>
    <t>CTR</t>
  </si>
  <si>
    <r>
      <t>R</t>
    </r>
    <r>
      <rPr>
        <vertAlign val="subscript"/>
        <sz val="11"/>
        <color theme="1"/>
        <rFont val="ＭＳ Ｐゴシック"/>
        <family val="2"/>
        <scheme val="minor"/>
      </rPr>
      <t>COMP</t>
    </r>
  </si>
  <si>
    <r>
      <t>C</t>
    </r>
    <r>
      <rPr>
        <vertAlign val="subscript"/>
        <sz val="11"/>
        <color theme="1"/>
        <rFont val="ＭＳ Ｐゴシック"/>
        <family val="2"/>
        <scheme val="minor"/>
      </rPr>
      <t>COMP</t>
    </r>
  </si>
  <si>
    <r>
      <t>C</t>
    </r>
    <r>
      <rPr>
        <vertAlign val="subscript"/>
        <sz val="11"/>
        <color theme="1"/>
        <rFont val="ＭＳ Ｐゴシック"/>
        <family val="2"/>
        <scheme val="minor"/>
      </rPr>
      <t>HF</t>
    </r>
  </si>
  <si>
    <r>
      <t>R</t>
    </r>
    <r>
      <rPr>
        <vertAlign val="subscript"/>
        <sz val="11"/>
        <color theme="1"/>
        <rFont val="ＭＳ Ｐゴシック"/>
        <family val="2"/>
        <scheme val="minor"/>
      </rPr>
      <t>FF</t>
    </r>
  </si>
  <si>
    <r>
      <t>C</t>
    </r>
    <r>
      <rPr>
        <vertAlign val="subscript"/>
        <sz val="11"/>
        <color theme="1"/>
        <rFont val="ＭＳ Ｐゴシック"/>
        <family val="2"/>
        <scheme val="minor"/>
      </rPr>
      <t>FF</t>
    </r>
  </si>
  <si>
    <r>
      <t>R</t>
    </r>
    <r>
      <rPr>
        <vertAlign val="subscript"/>
        <sz val="11"/>
        <color theme="1"/>
        <rFont val="ＭＳ Ｐゴシック"/>
        <family val="2"/>
        <scheme val="minor"/>
      </rPr>
      <t>Bias</t>
    </r>
  </si>
  <si>
    <r>
      <t>k</t>
    </r>
    <r>
      <rPr>
        <sz val="11"/>
        <color theme="1"/>
        <rFont val="Calibri"/>
        <family val="2"/>
      </rPr>
      <t>Ω</t>
    </r>
  </si>
  <si>
    <t>Zener Voltage</t>
  </si>
  <si>
    <r>
      <t>V</t>
    </r>
    <r>
      <rPr>
        <vertAlign val="subscript"/>
        <sz val="11"/>
        <color theme="1"/>
        <rFont val="ＭＳ Ｐゴシック"/>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</si>
  <si>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</si>
  <si>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</si>
  <si>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</si>
  <si>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</si>
  <si>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</si>
  <si>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</si>
  <si>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</si>
  <si>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</si>
  <si>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</si>
  <si>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</si>
  <si>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ＭＳ Ｐゴシック"/>
        <family val="2"/>
        <scheme val="minor"/>
      </rPr>
      <t>Pole</t>
    </r>
  </si>
  <si>
    <t>Opto-pole</t>
  </si>
  <si>
    <t>Bottom Feedback Resistor</t>
  </si>
  <si>
    <r>
      <t>R</t>
    </r>
    <r>
      <rPr>
        <vertAlign val="subscript"/>
        <sz val="11"/>
        <color theme="1"/>
        <rFont val="ＭＳ Ｐゴシック"/>
        <family val="2"/>
        <scheme val="minor"/>
      </rPr>
      <t>FBB</t>
    </r>
  </si>
  <si>
    <t>RFBB</t>
  </si>
  <si>
    <t>divider ratio</t>
  </si>
  <si>
    <t>with opto-pole, bias resistors, CTR, etc</t>
  </si>
  <si>
    <t>RFB</t>
  </si>
  <si>
    <t>Type II IL Comp</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</si>
  <si>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</si>
  <si>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</si>
  <si>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</si>
  <si>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</si>
  <si>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</si>
  <si>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</si>
  <si>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</si>
  <si>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ＭＳ Ｐゴシック"/>
        <family val="2"/>
        <scheme val="minor"/>
      </rPr>
      <t>ssinit</t>
    </r>
    <r>
      <rPr>
        <sz val="11"/>
        <color theme="1"/>
        <rFont val="ＭＳ Ｐゴシック"/>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</si>
  <si>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</si>
  <si>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</si>
  <si>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</si>
  <si>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Option 7</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</si>
</sst>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00"/>
    <numFmt numFmtId="178" formatCode="0E+00"/>
    <numFmt numFmtId="179" formatCode="0.0"/>
    <numFmt numFmtId="180" formatCode="0.00000000"/>
  </numFmts>
  <fonts count="40" x14ac:knownFonts="1">
    <font>
      <sz val="11"/>
      <color theme="1"/>
      <name val="ＭＳ Ｐゴシック"/>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ＭＳ Ｐゴシック"/>
      <family val="2"/>
      <scheme val="minor"/>
    </font>
    <font>
      <b/>
      <sz val="11"/>
      <color theme="1"/>
      <name val="ＭＳ Ｐゴシック"/>
      <family val="2"/>
      <scheme val="minor"/>
    </font>
    <font>
      <sz val="10"/>
      <name val="Arial"/>
      <family val="2"/>
    </font>
    <font>
      <vertAlign val="subscript"/>
      <sz val="11"/>
      <color theme="1"/>
      <name val="ＭＳ Ｐゴシック"/>
      <family val="2"/>
      <scheme val="minor"/>
    </font>
    <font>
      <b/>
      <sz val="11"/>
      <color rgb="FFFF0000"/>
      <name val="ＭＳ Ｐゴシック"/>
      <family val="2"/>
      <scheme val="minor"/>
    </font>
    <font>
      <sz val="11"/>
      <color theme="1"/>
      <name val="Calibri"/>
      <family val="2"/>
    </font>
    <font>
      <b/>
      <sz val="11"/>
      <color rgb="FFFF0000"/>
      <name val="Arial"/>
      <family val="2"/>
    </font>
    <font>
      <b/>
      <vertAlign val="subscript"/>
      <sz val="11"/>
      <color theme="1"/>
      <name val="ＭＳ Ｐゴシック"/>
      <family val="2"/>
      <scheme val="minor"/>
    </font>
    <font>
      <sz val="11"/>
      <color theme="1"/>
      <name val="Arial"/>
      <family val="2"/>
    </font>
    <font>
      <vertAlign val="subscript"/>
      <sz val="11"/>
      <color theme="1"/>
      <name val="Arial"/>
      <family val="2"/>
    </font>
    <font>
      <b/>
      <sz val="12"/>
      <color theme="0"/>
      <name val="Arial"/>
      <family val="2"/>
    </font>
    <font>
      <sz val="11"/>
      <color rgb="FF00B050"/>
      <name val="ＭＳ Ｐゴシック"/>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ＭＳ Ｐゴシック"/>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ＭＳ Ｐゴシック"/>
      <family val="2"/>
      <scheme val="minor"/>
    </font>
    <font>
      <b/>
      <sz val="11"/>
      <name val="ＭＳ Ｐゴシック"/>
      <family val="2"/>
      <scheme val="minor"/>
    </font>
    <font>
      <vertAlign val="subscript"/>
      <sz val="11"/>
      <name val="ＭＳ Ｐゴシック"/>
      <family val="2"/>
      <scheme val="minor"/>
    </font>
    <font>
      <sz val="11"/>
      <color theme="1"/>
      <name val="Symbol"/>
      <family val="1"/>
      <charset val="2"/>
    </font>
    <font>
      <sz val="6"/>
      <name val="ＭＳ Ｐ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4">
    <xf numFmtId="0" fontId="0" fillId="0" borderId="0"/>
    <xf numFmtId="0" fontId="13" fillId="0" borderId="0"/>
    <xf numFmtId="0" fontId="27" fillId="0" borderId="0"/>
    <xf numFmtId="0" fontId="27" fillId="0" borderId="0"/>
  </cellStyleXfs>
  <cellXfs count="255">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78"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77"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76"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76" fontId="0" fillId="3" borderId="17" xfId="0" applyNumberFormat="1" applyFill="1" applyBorder="1" applyAlignment="1">
      <alignment vertical="center"/>
    </xf>
    <xf numFmtId="0" fontId="0" fillId="3" borderId="18" xfId="0" applyFill="1" applyBorder="1" applyAlignment="1">
      <alignment vertical="center"/>
    </xf>
    <xf numFmtId="176"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77"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76" fontId="15" fillId="3" borderId="17" xfId="0" applyNumberFormat="1" applyFont="1" applyFill="1" applyBorder="1" applyAlignment="1">
      <alignment vertical="center"/>
    </xf>
    <xf numFmtId="0" fontId="15" fillId="3" borderId="17" xfId="0" applyFont="1" applyFill="1" applyBorder="1" applyAlignment="1">
      <alignment vertical="center"/>
    </xf>
    <xf numFmtId="176" fontId="15" fillId="3" borderId="0" xfId="0" applyNumberFormat="1" applyFont="1" applyFill="1" applyAlignment="1">
      <alignment vertical="center"/>
    </xf>
    <xf numFmtId="0" fontId="0" fillId="0" borderId="17" xfId="0" applyBorder="1"/>
    <xf numFmtId="0" fontId="16" fillId="0" borderId="17" xfId="0" applyFont="1" applyBorder="1"/>
    <xf numFmtId="0" fontId="30" fillId="0" borderId="0" xfId="0" applyFont="1"/>
    <xf numFmtId="0" fontId="31" fillId="0" borderId="0" xfId="0" applyFont="1"/>
    <xf numFmtId="0" fontId="30" fillId="0" borderId="17" xfId="0" applyFont="1" applyBorder="1"/>
    <xf numFmtId="0" fontId="30" fillId="0" borderId="31"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76" fontId="30" fillId="0" borderId="17" xfId="0" applyNumberFormat="1" applyFont="1" applyBorder="1"/>
    <xf numFmtId="179"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0" fontId="30" fillId="0" borderId="32" xfId="0" applyFont="1" applyBorder="1"/>
    <xf numFmtId="0" fontId="30" fillId="0" borderId="33" xfId="0" applyFont="1" applyBorder="1"/>
    <xf numFmtId="0" fontId="30" fillId="0" borderId="34" xfId="0" applyFont="1" applyBorder="1"/>
    <xf numFmtId="0" fontId="30" fillId="0" borderId="35" xfId="0" applyFont="1" applyBorder="1"/>
    <xf numFmtId="2" fontId="30" fillId="0" borderId="17" xfId="0" applyNumberFormat="1" applyFont="1" applyBorder="1"/>
    <xf numFmtId="2" fontId="30" fillId="0" borderId="18" xfId="0" applyNumberFormat="1" applyFont="1" applyBorder="1"/>
    <xf numFmtId="2" fontId="34" fillId="0" borderId="17" xfId="0" applyNumberFormat="1" applyFont="1" applyBorder="1"/>
    <xf numFmtId="0" fontId="35" fillId="3" borderId="17" xfId="0" applyFont="1" applyFill="1" applyBorder="1" applyAlignment="1">
      <alignment vertical="center"/>
    </xf>
    <xf numFmtId="176" fontId="35" fillId="3" borderId="17" xfId="0" applyNumberFormat="1" applyFont="1" applyFill="1" applyBorder="1" applyAlignment="1">
      <alignment vertical="center"/>
    </xf>
    <xf numFmtId="176" fontId="35" fillId="3" borderId="18" xfId="0" applyNumberFormat="1" applyFont="1" applyFill="1" applyBorder="1" applyAlignment="1">
      <alignment vertical="center"/>
    </xf>
    <xf numFmtId="179" fontId="32" fillId="0" borderId="17" xfId="0" applyNumberFormat="1" applyFont="1" applyBorder="1"/>
    <xf numFmtId="2" fontId="15" fillId="0" borderId="17" xfId="0" applyNumberFormat="1" applyFont="1" applyBorder="1"/>
    <xf numFmtId="179" fontId="35" fillId="3" borderId="17" xfId="0" applyNumberFormat="1" applyFont="1" applyFill="1" applyBorder="1" applyAlignment="1">
      <alignment vertical="center"/>
    </xf>
    <xf numFmtId="179" fontId="0" fillId="3" borderId="17" xfId="0" applyNumberFormat="1" applyFill="1" applyBorder="1" applyAlignment="1">
      <alignment vertical="center"/>
    </xf>
    <xf numFmtId="179"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77"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2" fontId="30" fillId="4" borderId="34" xfId="0" applyNumberFormat="1" applyFont="1" applyFill="1" applyBorder="1" applyProtection="1">
      <protection locked="0"/>
    </xf>
    <xf numFmtId="0" fontId="30" fillId="4" borderId="31" xfId="0" applyFont="1" applyFill="1" applyBorder="1" applyProtection="1">
      <protection locked="0"/>
    </xf>
    <xf numFmtId="179" fontId="30" fillId="4" borderId="17" xfId="0" applyNumberFormat="1"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79"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1" fontId="34" fillId="0" borderId="17" xfId="0" applyNumberFormat="1" applyFont="1" applyBorder="1"/>
    <xf numFmtId="2" fontId="30" fillId="3" borderId="17" xfId="0" applyNumberFormat="1" applyFont="1" applyFill="1" applyBorder="1"/>
    <xf numFmtId="0" fontId="30" fillId="3" borderId="17" xfId="0" applyFont="1" applyFill="1" applyBorder="1"/>
    <xf numFmtId="179" fontId="30" fillId="3" borderId="17" xfId="0" applyNumberFormat="1" applyFont="1" applyFill="1" applyBorder="1"/>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0" fontId="30" fillId="0" borderId="15" xfId="0" applyFont="1" applyBorder="1" applyAlignment="1">
      <alignment vertical="center" wrapText="1"/>
    </xf>
    <xf numFmtId="0" fontId="30" fillId="0" borderId="17" xfId="0" applyFont="1" applyBorder="1" applyAlignment="1">
      <alignment vertical="center"/>
    </xf>
    <xf numFmtId="2" fontId="0" fillId="0" borderId="0" xfId="0" applyNumberFormat="1"/>
    <xf numFmtId="176" fontId="34" fillId="0" borderId="17" xfId="0" applyNumberFormat="1" applyFont="1" applyBorder="1"/>
    <xf numFmtId="0" fontId="0" fillId="3" borderId="37" xfId="0" applyFill="1" applyBorder="1" applyAlignment="1">
      <alignment vertical="center"/>
    </xf>
    <xf numFmtId="176" fontId="34" fillId="3" borderId="17" xfId="0" applyNumberFormat="1" applyFont="1" applyFill="1" applyBorder="1"/>
    <xf numFmtId="0" fontId="0" fillId="0" borderId="0" xfId="0" applyAlignment="1">
      <alignment wrapText="1"/>
    </xf>
    <xf numFmtId="2" fontId="32" fillId="3" borderId="17" xfId="0" applyNumberFormat="1" applyFont="1" applyFill="1" applyBorder="1" applyAlignment="1">
      <alignment horizontal="right"/>
    </xf>
    <xf numFmtId="179" fontId="34" fillId="0" borderId="31" xfId="0" applyNumberFormat="1" applyFont="1" applyBorder="1"/>
    <xf numFmtId="176" fontId="30" fillId="3" borderId="31" xfId="0" applyNumberFormat="1" applyFont="1" applyFill="1" applyBorder="1"/>
    <xf numFmtId="1" fontId="34" fillId="3" borderId="17" xfId="0" applyNumberFormat="1" applyFont="1" applyFill="1" applyBorder="1"/>
    <xf numFmtId="179" fontId="34" fillId="0" borderId="18" xfId="0" applyNumberFormat="1" applyFont="1" applyBorder="1"/>
    <xf numFmtId="0" fontId="0" fillId="0" borderId="18" xfId="0" applyBorder="1"/>
    <xf numFmtId="179" fontId="30" fillId="4" borderId="31" xfId="0" applyNumberFormat="1" applyFont="1" applyFill="1" applyBorder="1" applyProtection="1">
      <protection locked="0"/>
    </xf>
    <xf numFmtId="0" fontId="30" fillId="4" borderId="17" xfId="0" applyFont="1" applyFill="1" applyBorder="1" applyAlignment="1" applyProtection="1">
      <alignment horizontal="right" vertical="center"/>
      <protection locked="0"/>
    </xf>
    <xf numFmtId="176" fontId="12" fillId="3" borderId="25" xfId="0" applyNumberFormat="1" applyFont="1" applyFill="1" applyBorder="1" applyAlignment="1">
      <alignment vertical="center"/>
    </xf>
    <xf numFmtId="176" fontId="32" fillId="4" borderId="17" xfId="0" applyNumberFormat="1" applyFont="1" applyFill="1" applyBorder="1" applyProtection="1">
      <protection locked="0"/>
    </xf>
    <xf numFmtId="176" fontId="32" fillId="3" borderId="17" xfId="0" applyNumberFormat="1" applyFont="1" applyFill="1" applyBorder="1"/>
    <xf numFmtId="176" fontId="30" fillId="4" borderId="17" xfId="0" applyNumberFormat="1" applyFont="1" applyFill="1" applyBorder="1" applyProtection="1">
      <protection locked="0"/>
    </xf>
    <xf numFmtId="0" fontId="30" fillId="0" borderId="15" xfId="0" applyFont="1" applyBorder="1" applyAlignment="1">
      <alignment wrapText="1"/>
    </xf>
    <xf numFmtId="0" fontId="30" fillId="0" borderId="8" xfId="0" applyFont="1" applyBorder="1"/>
    <xf numFmtId="2" fontId="30" fillId="0" borderId="0" xfId="0" applyNumberFormat="1" applyFont="1"/>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5"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176" fontId="32" fillId="3" borderId="17" xfId="0" applyNumberFormat="1" applyFont="1" applyFill="1" applyBorder="1" applyAlignment="1">
      <alignment horizontal="right"/>
    </xf>
    <xf numFmtId="2" fontId="32" fillId="3" borderId="17" xfId="0" applyNumberFormat="1" applyFont="1" applyFill="1" applyBorder="1" applyAlignment="1">
      <alignment horizontal="right" vertical="center" wrapText="1"/>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 fontId="30" fillId="4" borderId="31" xfId="0" applyNumberFormat="1" applyFont="1" applyFill="1" applyBorder="1" applyProtection="1">
      <protection locked="0"/>
    </xf>
    <xf numFmtId="0" fontId="30" fillId="0" borderId="17" xfId="0" applyFont="1" applyBorder="1" applyAlignment="1">
      <alignment horizontal="right" vertical="center"/>
    </xf>
    <xf numFmtId="176" fontId="0" fillId="0" borderId="0" xfId="0" applyNumberFormat="1"/>
    <xf numFmtId="1" fontId="34" fillId="3" borderId="31" xfId="0" applyNumberFormat="1" applyFont="1" applyFill="1" applyBorder="1"/>
    <xf numFmtId="2" fontId="0" fillId="4" borderId="17" xfId="0" applyNumberFormat="1" applyFill="1" applyBorder="1" applyProtection="1">
      <protection locked="0"/>
    </xf>
    <xf numFmtId="2" fontId="0" fillId="3" borderId="17" xfId="0" applyNumberFormat="1" applyFill="1" applyBorder="1" applyAlignment="1">
      <alignment vertical="center"/>
    </xf>
    <xf numFmtId="0" fontId="38"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80" fontId="0" fillId="0" borderId="17" xfId="0" applyNumberFormat="1" applyBorder="1"/>
    <xf numFmtId="180" fontId="0" fillId="0" borderId="17" xfId="0" quotePrefix="1" applyNumberFormat="1" applyBorder="1"/>
    <xf numFmtId="176" fontId="15" fillId="3" borderId="31" xfId="0" applyNumberFormat="1" applyFont="1" applyFill="1" applyBorder="1"/>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0" fillId="6" borderId="15" xfId="0" applyFill="1" applyBorder="1" applyAlignment="1">
      <alignment horizontal="left" vertical="center"/>
    </xf>
    <xf numFmtId="0" fontId="0" fillId="6" borderId="17" xfId="0" applyFill="1" applyBorder="1" applyAlignment="1">
      <alignment horizontal="left" vertical="center"/>
    </xf>
    <xf numFmtId="0" fontId="0" fillId="6" borderId="19" xfId="0"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9" xfId="0" applyFont="1" applyFill="1" applyBorder="1" applyAlignment="1">
      <alignment horizontal="left" vertical="center"/>
    </xf>
    <xf numFmtId="0" fontId="19" fillId="3" borderId="0" xfId="0" applyFont="1" applyFill="1" applyAlignment="1">
      <alignment horizontal="center"/>
    </xf>
    <xf numFmtId="0" fontId="0" fillId="0" borderId="17" xfId="0" applyBorder="1" applyAlignment="1">
      <alignment horizontal="center"/>
    </xf>
  </cellXfs>
  <cellStyles count="4">
    <cellStyle name="Normal 2" xfId="1" xr:uid="{00000000-0005-0000-0000-000000000000}"/>
    <cellStyle name="Normal 2 2" xfId="2" xr:uid="{00000000-0005-0000-0000-000001000000}"/>
    <cellStyle name="Normal 2_DESIGN INPUTS AND CALCULATIONS" xfId="3" xr:uid="{00000000-0005-0000-0000-000002000000}"/>
    <cellStyle name="標準" xfId="0" builtinId="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978F-4F3E-BF97-2058E6E30A5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978F-4F3E-BF97-2058E6E30A5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978F-4F3E-BF97-2058E6E30A5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978F-4F3E-BF97-2058E6E30A5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978F-4F3E-BF97-2058E6E30A5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978F-4F3E-BF97-2058E6E30A5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978F-4F3E-BF97-2058E6E30A5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978F-4F3E-BF97-2058E6E30A5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978F-4F3E-BF97-2058E6E30A5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978F-4F3E-BF97-2058E6E30A5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978F-4F3E-BF97-2058E6E30A5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978F-4F3E-BF97-2058E6E30A52}"/>
            </c:ext>
          </c:extLst>
        </c:ser>
        <c:dLbls>
          <c:showLegendKey val="0"/>
          <c:showVal val="0"/>
          <c:showCatName val="0"/>
          <c:showSerName val="0"/>
          <c:showPercent val="0"/>
          <c:showBubbleSize val="0"/>
        </c:dLbls>
        <c:axId val="56813248"/>
        <c:axId val="56813824"/>
      </c:scatterChart>
      <c:valAx>
        <c:axId val="568132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ja-JP"/>
          </a:p>
        </c:txPr>
        <c:crossAx val="56813824"/>
        <c:crosses val="autoZero"/>
        <c:crossBetween val="midCat"/>
        <c:majorUnit val="5.000000000000001E-2"/>
        <c:minorUnit val="1.0000000000000002E-2"/>
      </c:valAx>
      <c:valAx>
        <c:axId val="56813824"/>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568132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calculations'!$S$66:$S$140</c:f>
              <c:numCache>
                <c:formatCode>0.00</c:formatCode>
                <c:ptCount val="75"/>
                <c:pt idx="0">
                  <c:v>0</c:v>
                </c:pt>
                <c:pt idx="1">
                  <c:v>2.4843387713614995E-2</c:v>
                </c:pt>
                <c:pt idx="2">
                  <c:v>0.10676064698136778</c:v>
                </c:pt>
                <c:pt idx="3">
                  <c:v>0.27271182337523447</c:v>
                </c:pt>
                <c:pt idx="4">
                  <c:v>0.58597542026562843</c:v>
                </c:pt>
                <c:pt idx="5">
                  <c:v>1.1528335817871886</c:v>
                </c:pt>
                <c:pt idx="6">
                  <c:v>1.8262823973487241</c:v>
                </c:pt>
                <c:pt idx="7">
                  <c:v>1.9158305488393488</c:v>
                </c:pt>
                <c:pt idx="8">
                  <c:v>1.6810661332469532</c:v>
                </c:pt>
                <c:pt idx="9">
                  <c:v>1.4823599475195142</c:v>
                </c:pt>
                <c:pt idx="10">
                  <c:v>1.3478649622446579</c:v>
                </c:pt>
                <c:pt idx="11">
                  <c:v>1.2563289272067129</c:v>
                </c:pt>
                <c:pt idx="12">
                  <c:v>1.1916502272330063</c:v>
                </c:pt>
                <c:pt idx="13">
                  <c:v>1.144181350311275</c:v>
                </c:pt>
                <c:pt idx="14">
                  <c:v>1.1081681924878279</c:v>
                </c:pt>
                <c:pt idx="15">
                  <c:v>1.0800624206886358</c:v>
                </c:pt>
                <c:pt idx="16">
                  <c:v>1.057590180679024</c:v>
                </c:pt>
                <c:pt idx="17">
                  <c:v>1.0392410504335348</c:v>
                </c:pt>
                <c:pt idx="18">
                  <c:v>1.0239793017987036</c:v>
                </c:pt>
                <c:pt idx="19">
                  <c:v>1.0110747405548686</c:v>
                </c:pt>
                <c:pt idx="20">
                  <c:v>1</c:v>
                </c:pt>
                <c:pt idx="21">
                  <c:v>0.99036609410959509</c:v>
                </c:pt>
                <c:pt idx="22">
                  <c:v>0.98188075915259299</c:v>
                </c:pt>
                <c:pt idx="23">
                  <c:v>0.97432080057557524</c:v>
                </c:pt>
                <c:pt idx="24">
                  <c:v>0.96751329540389286</c:v>
                </c:pt>
                <c:pt idx="25">
                  <c:v>0.96132253953880586</c:v>
                </c:pt>
                <c:pt idx="26">
                  <c:v>0.95564080927177086</c:v>
                </c:pt>
                <c:pt idx="27">
                  <c:v>0.95038170870921213</c:v>
                </c:pt>
                <c:pt idx="28">
                  <c:v>0.94547530389657553</c:v>
                </c:pt>
                <c:pt idx="29">
                  <c:v>0.9408645128807871</c:v>
                </c:pt>
                <c:pt idx="30">
                  <c:v>0.93650239259087142</c:v>
                </c:pt>
                <c:pt idx="31">
                  <c:v>0.9323500753680859</c:v>
                </c:pt>
                <c:pt idx="32">
                  <c:v>0.92837518234449834</c:v>
                </c:pt>
                <c:pt idx="33">
                  <c:v>0.92455059110834159</c:v>
                </c:pt>
                <c:pt idx="34">
                  <c:v>0.92085346956463798</c:v>
                </c:pt>
                <c:pt idx="35">
                  <c:v>0.91726451189204095</c:v>
                </c:pt>
                <c:pt idx="36">
                  <c:v>0.91376732941986216</c:v>
                </c:pt>
                <c:pt idx="37">
                  <c:v>0.91034796133426077</c:v>
                </c:pt>
                <c:pt idx="38">
                  <c:v>0.90699447885255036</c:v>
                </c:pt>
                <c:pt idx="39">
                  <c:v>0.90369666287898232</c:v>
                </c:pt>
                <c:pt idx="40">
                  <c:v>0.90044573985678056</c:v>
                </c:pt>
                <c:pt idx="41">
                  <c:v>0.89723416403152079</c:v>
                </c:pt>
                <c:pt idx="42">
                  <c:v>0.89405543697008361</c:v>
                </c:pt>
                <c:pt idx="43">
                  <c:v>0.89090395717082249</c:v>
                </c:pt>
                <c:pt idx="44">
                  <c:v>0.88777489412061084</c:v>
                </c:pt>
                <c:pt idx="45">
                  <c:v>0.88466408232351434</c:v>
                </c:pt>
                <c:pt idx="46">
                  <c:v>0.88156793173107972</c:v>
                </c:pt>
                <c:pt idx="47">
                  <c:v>0.87848335171001457</c:v>
                </c:pt>
                <c:pt idx="48">
                  <c:v>0.8754076862366551</c:v>
                </c:pt>
                <c:pt idx="49">
                  <c:v>0.87233865844453917</c:v>
                </c:pt>
                <c:pt idx="50">
                  <c:v>0.86927432299818386</c:v>
                </c:pt>
                <c:pt idx="51">
                  <c:v>0.8662130250428266</c:v>
                </c:pt>
                <c:pt idx="52">
                  <c:v>0.86315336470186443</c:v>
                </c:pt>
                <c:pt idx="53">
                  <c:v>0.8600941662725643</c:v>
                </c:pt>
                <c:pt idx="54">
                  <c:v>0.85703445141550016</c:v>
                </c:pt>
                <c:pt idx="55">
                  <c:v>0.85397341575096453</c:v>
                </c:pt>
                <c:pt idx="56">
                  <c:v>0.85091040837190379</c:v>
                </c:pt>
                <c:pt idx="57">
                  <c:v>0.84784491386183747</c:v>
                </c:pt>
                <c:pt idx="58">
                  <c:v>0.84477653647129014</c:v>
                </c:pt>
                <c:pt idx="59">
                  <c:v>0.8417049861599688</c:v>
                </c:pt>
                <c:pt idx="60">
                  <c:v>0.83863006625655701</c:v>
                </c:pt>
                <c:pt idx="61">
                  <c:v>0.83555166252510027</c:v>
                </c:pt>
                <c:pt idx="62">
                  <c:v>0.83246973345798314</c:v>
                </c:pt>
                <c:pt idx="63">
                  <c:v>0.82938430164149279</c:v>
                </c:pt>
                <c:pt idx="64">
                  <c:v>0.82629544606181127</c:v>
                </c:pt>
                <c:pt idx="65">
                  <c:v>0.8232032952377224</c:v>
                </c:pt>
                <c:pt idx="66">
                  <c:v>0.82010802108189984</c:v>
                </c:pt>
                <c:pt idx="67">
                  <c:v>0.81700983340585664</c:v>
                </c:pt>
                <c:pt idx="68">
                  <c:v>0.81390897499488735</c:v>
                </c:pt>
                <c:pt idx="69">
                  <c:v>0.81080571718893479</c:v>
                </c:pt>
                <c:pt idx="70">
                  <c:v>0.80770035591349199</c:v>
                </c:pt>
                <c:pt idx="71">
                  <c:v>0.80459320811168189</c:v>
                </c:pt>
              </c:numCache>
            </c:numRef>
          </c:yVal>
          <c:smooth val="1"/>
          <c:extLst>
            <c:ext xmlns:c16="http://schemas.microsoft.com/office/drawing/2014/chart" uri="{C3380CC4-5D6E-409C-BE32-E72D297353CC}">
              <c16:uniqueId val="{00000000-187E-40B0-80DD-56D85B6569F3}"/>
            </c:ext>
          </c:extLst>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1.7671874999999999</c:v>
                </c:pt>
                <c:pt idx="1">
                  <c:v>1.7671874999999999</c:v>
                </c:pt>
                <c:pt idx="2">
                  <c:v>1.7671874999999999</c:v>
                </c:pt>
                <c:pt idx="3">
                  <c:v>1.7671874999999999</c:v>
                </c:pt>
                <c:pt idx="4">
                  <c:v>1.7671874999999999</c:v>
                </c:pt>
                <c:pt idx="5">
                  <c:v>1.7671874999999999</c:v>
                </c:pt>
                <c:pt idx="6">
                  <c:v>1.7671874999999999</c:v>
                </c:pt>
                <c:pt idx="7">
                  <c:v>1.7671874999999999</c:v>
                </c:pt>
                <c:pt idx="8">
                  <c:v>1.7671874999999999</c:v>
                </c:pt>
                <c:pt idx="9">
                  <c:v>1.7671874999999999</c:v>
                </c:pt>
                <c:pt idx="10">
                  <c:v>1.7671874999999999</c:v>
                </c:pt>
                <c:pt idx="11">
                  <c:v>1.7671874999999999</c:v>
                </c:pt>
                <c:pt idx="12">
                  <c:v>1.7671874999999999</c:v>
                </c:pt>
                <c:pt idx="13">
                  <c:v>1.7671874999999999</c:v>
                </c:pt>
                <c:pt idx="14">
                  <c:v>1.7671874999999999</c:v>
                </c:pt>
                <c:pt idx="15">
                  <c:v>1.7671874999999999</c:v>
                </c:pt>
                <c:pt idx="16">
                  <c:v>1.7671874999999999</c:v>
                </c:pt>
                <c:pt idx="17">
                  <c:v>1.7671874999999999</c:v>
                </c:pt>
                <c:pt idx="18">
                  <c:v>1.7671874999999999</c:v>
                </c:pt>
                <c:pt idx="19">
                  <c:v>1.7671874999999999</c:v>
                </c:pt>
                <c:pt idx="20">
                  <c:v>1.7671874999999999</c:v>
                </c:pt>
                <c:pt idx="21">
                  <c:v>1.7671874999999999</c:v>
                </c:pt>
                <c:pt idx="22">
                  <c:v>1.7671874999999999</c:v>
                </c:pt>
                <c:pt idx="23">
                  <c:v>1.7671874999999999</c:v>
                </c:pt>
                <c:pt idx="24">
                  <c:v>1.7671874999999999</c:v>
                </c:pt>
                <c:pt idx="25">
                  <c:v>1.7671874999999999</c:v>
                </c:pt>
                <c:pt idx="26">
                  <c:v>1.7671874999999999</c:v>
                </c:pt>
                <c:pt idx="27">
                  <c:v>1.7671874999999999</c:v>
                </c:pt>
                <c:pt idx="28">
                  <c:v>1.7671874999999999</c:v>
                </c:pt>
                <c:pt idx="29">
                  <c:v>1.7671874999999999</c:v>
                </c:pt>
                <c:pt idx="30">
                  <c:v>1.7671874999999999</c:v>
                </c:pt>
                <c:pt idx="31">
                  <c:v>1.7671874999999999</c:v>
                </c:pt>
                <c:pt idx="32">
                  <c:v>1.7671874999999999</c:v>
                </c:pt>
                <c:pt idx="33">
                  <c:v>1.7671874999999999</c:v>
                </c:pt>
                <c:pt idx="34">
                  <c:v>1.7671874999999999</c:v>
                </c:pt>
                <c:pt idx="35">
                  <c:v>1.7671874999999999</c:v>
                </c:pt>
                <c:pt idx="36">
                  <c:v>1.7671874999999999</c:v>
                </c:pt>
                <c:pt idx="37">
                  <c:v>1.7671874999999999</c:v>
                </c:pt>
                <c:pt idx="38">
                  <c:v>1.7671874999999999</c:v>
                </c:pt>
                <c:pt idx="39">
                  <c:v>1.7671874999999999</c:v>
                </c:pt>
                <c:pt idx="40">
                  <c:v>1.7671874999999999</c:v>
                </c:pt>
                <c:pt idx="41">
                  <c:v>1.7671874999999999</c:v>
                </c:pt>
                <c:pt idx="42">
                  <c:v>1.7671874999999999</c:v>
                </c:pt>
                <c:pt idx="43">
                  <c:v>1.7671874999999999</c:v>
                </c:pt>
                <c:pt idx="44">
                  <c:v>1.7671874999999999</c:v>
                </c:pt>
                <c:pt idx="45">
                  <c:v>1.7671874999999999</c:v>
                </c:pt>
                <c:pt idx="46">
                  <c:v>1.7671874999999999</c:v>
                </c:pt>
                <c:pt idx="47">
                  <c:v>1.7671874999999999</c:v>
                </c:pt>
                <c:pt idx="48">
                  <c:v>1.7671874999999999</c:v>
                </c:pt>
                <c:pt idx="49">
                  <c:v>1.7671874999999999</c:v>
                </c:pt>
                <c:pt idx="50">
                  <c:v>1.7671874999999999</c:v>
                </c:pt>
                <c:pt idx="51">
                  <c:v>1.7671874999999999</c:v>
                </c:pt>
                <c:pt idx="52">
                  <c:v>1.7671874999999999</c:v>
                </c:pt>
                <c:pt idx="53">
                  <c:v>1.7671874999999999</c:v>
                </c:pt>
                <c:pt idx="54">
                  <c:v>1.7671874999999999</c:v>
                </c:pt>
                <c:pt idx="55">
                  <c:v>1.7671874999999999</c:v>
                </c:pt>
                <c:pt idx="56">
                  <c:v>1.7671874999999999</c:v>
                </c:pt>
                <c:pt idx="57">
                  <c:v>1.7671874999999999</c:v>
                </c:pt>
                <c:pt idx="58">
                  <c:v>1.7671874999999999</c:v>
                </c:pt>
                <c:pt idx="59">
                  <c:v>1.7671874999999999</c:v>
                </c:pt>
                <c:pt idx="60">
                  <c:v>1.7671874999999999</c:v>
                </c:pt>
                <c:pt idx="61">
                  <c:v>1.7671874999999999</c:v>
                </c:pt>
                <c:pt idx="62">
                  <c:v>1.7671874999999999</c:v>
                </c:pt>
                <c:pt idx="63">
                  <c:v>1.7671874999999999</c:v>
                </c:pt>
                <c:pt idx="64">
                  <c:v>1.7671874999999999</c:v>
                </c:pt>
                <c:pt idx="65">
                  <c:v>1.7671874999999999</c:v>
                </c:pt>
                <c:pt idx="66">
                  <c:v>1.7671874999999999</c:v>
                </c:pt>
                <c:pt idx="67">
                  <c:v>1.7671874999999999</c:v>
                </c:pt>
                <c:pt idx="68">
                  <c:v>1.7671874999999999</c:v>
                </c:pt>
                <c:pt idx="69">
                  <c:v>1.7671874999999999</c:v>
                </c:pt>
                <c:pt idx="70">
                  <c:v>1.7671874999999999</c:v>
                </c:pt>
                <c:pt idx="71">
                  <c:v>1.7671874999999999</c:v>
                </c:pt>
              </c:numCache>
            </c:numRef>
          </c:yVal>
          <c:smooth val="1"/>
          <c:extLst>
            <c:ext xmlns:c16="http://schemas.microsoft.com/office/drawing/2014/chart" uri="{C3380CC4-5D6E-409C-BE32-E72D297353CC}">
              <c16:uniqueId val="{00000001-187E-40B0-80DD-56D85B6569F3}"/>
            </c:ext>
          </c:extLst>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calculations'!$V$66:$V$140</c:f>
              <c:numCache>
                <c:formatCode>0.00</c:formatCode>
                <c:ptCount val="75"/>
                <c:pt idx="0">
                  <c:v>1.0214285714285714</c:v>
                </c:pt>
                <c:pt idx="1">
                  <c:v>1.0214285714285714</c:v>
                </c:pt>
                <c:pt idx="2">
                  <c:v>1.0214285714285714</c:v>
                </c:pt>
                <c:pt idx="3">
                  <c:v>1.0214285714285714</c:v>
                </c:pt>
                <c:pt idx="4">
                  <c:v>1.0214285714285714</c:v>
                </c:pt>
                <c:pt idx="5">
                  <c:v>1.0214285714285714</c:v>
                </c:pt>
                <c:pt idx="6">
                  <c:v>1.0214285714285714</c:v>
                </c:pt>
                <c:pt idx="7">
                  <c:v>1.0214285714285714</c:v>
                </c:pt>
                <c:pt idx="8">
                  <c:v>1.0214285714285714</c:v>
                </c:pt>
                <c:pt idx="9">
                  <c:v>1.0214285714285714</c:v>
                </c:pt>
                <c:pt idx="10">
                  <c:v>1.0214285714285714</c:v>
                </c:pt>
                <c:pt idx="11">
                  <c:v>1.0214285714285714</c:v>
                </c:pt>
                <c:pt idx="12">
                  <c:v>1.0214285714285714</c:v>
                </c:pt>
                <c:pt idx="13">
                  <c:v>1.0214285714285714</c:v>
                </c:pt>
                <c:pt idx="14">
                  <c:v>1.0214285714285714</c:v>
                </c:pt>
                <c:pt idx="15">
                  <c:v>1.0214285714285714</c:v>
                </c:pt>
                <c:pt idx="16">
                  <c:v>1.0214285714285714</c:v>
                </c:pt>
                <c:pt idx="17">
                  <c:v>1.0214285714285714</c:v>
                </c:pt>
                <c:pt idx="18">
                  <c:v>1.0214285714285714</c:v>
                </c:pt>
                <c:pt idx="19">
                  <c:v>1.0214285714285714</c:v>
                </c:pt>
                <c:pt idx="20">
                  <c:v>1.0214285714285714</c:v>
                </c:pt>
                <c:pt idx="21">
                  <c:v>1.0214285714285714</c:v>
                </c:pt>
                <c:pt idx="22">
                  <c:v>1.0214285714285714</c:v>
                </c:pt>
                <c:pt idx="23">
                  <c:v>1.0214285714285714</c:v>
                </c:pt>
                <c:pt idx="24">
                  <c:v>1.0214285714285714</c:v>
                </c:pt>
                <c:pt idx="25">
                  <c:v>1.0214285714285714</c:v>
                </c:pt>
                <c:pt idx="26">
                  <c:v>1.0214285714285714</c:v>
                </c:pt>
                <c:pt idx="27">
                  <c:v>1.0214285714285714</c:v>
                </c:pt>
                <c:pt idx="28">
                  <c:v>1.0214285714285714</c:v>
                </c:pt>
                <c:pt idx="29">
                  <c:v>1.0214285714285714</c:v>
                </c:pt>
                <c:pt idx="30">
                  <c:v>1.0214285714285714</c:v>
                </c:pt>
                <c:pt idx="31">
                  <c:v>1.0214285714285714</c:v>
                </c:pt>
                <c:pt idx="32">
                  <c:v>1.0214285714285714</c:v>
                </c:pt>
                <c:pt idx="33">
                  <c:v>1.0214285714285714</c:v>
                </c:pt>
                <c:pt idx="34">
                  <c:v>1.0214285714285714</c:v>
                </c:pt>
                <c:pt idx="35">
                  <c:v>1.0214285714285714</c:v>
                </c:pt>
                <c:pt idx="36">
                  <c:v>1.0214285714285714</c:v>
                </c:pt>
                <c:pt idx="37">
                  <c:v>1.0214285714285714</c:v>
                </c:pt>
                <c:pt idx="38">
                  <c:v>1.0214285714285714</c:v>
                </c:pt>
                <c:pt idx="39">
                  <c:v>1.0214285714285714</c:v>
                </c:pt>
                <c:pt idx="40">
                  <c:v>1.0214285714285714</c:v>
                </c:pt>
                <c:pt idx="41">
                  <c:v>1.0214285714285714</c:v>
                </c:pt>
                <c:pt idx="42">
                  <c:v>1.0214285714285714</c:v>
                </c:pt>
                <c:pt idx="43">
                  <c:v>1.0214285714285714</c:v>
                </c:pt>
                <c:pt idx="44">
                  <c:v>1.0214285714285714</c:v>
                </c:pt>
                <c:pt idx="45">
                  <c:v>1.0214285714285714</c:v>
                </c:pt>
                <c:pt idx="46">
                  <c:v>1.0214285714285714</c:v>
                </c:pt>
                <c:pt idx="47">
                  <c:v>1.0214285714285714</c:v>
                </c:pt>
                <c:pt idx="48">
                  <c:v>1.0214285714285714</c:v>
                </c:pt>
                <c:pt idx="49">
                  <c:v>1.0214285714285714</c:v>
                </c:pt>
                <c:pt idx="50">
                  <c:v>1.0214285714285714</c:v>
                </c:pt>
                <c:pt idx="51">
                  <c:v>1.0214285714285714</c:v>
                </c:pt>
                <c:pt idx="52">
                  <c:v>1.0214285714285714</c:v>
                </c:pt>
                <c:pt idx="53">
                  <c:v>1.0214285714285714</c:v>
                </c:pt>
                <c:pt idx="54">
                  <c:v>1.0214285714285714</c:v>
                </c:pt>
                <c:pt idx="55">
                  <c:v>1.0214285714285714</c:v>
                </c:pt>
                <c:pt idx="56">
                  <c:v>1.0214285714285714</c:v>
                </c:pt>
                <c:pt idx="57">
                  <c:v>1.0214285714285714</c:v>
                </c:pt>
                <c:pt idx="58">
                  <c:v>1.0214285714285714</c:v>
                </c:pt>
                <c:pt idx="59">
                  <c:v>1.0214285714285714</c:v>
                </c:pt>
                <c:pt idx="60">
                  <c:v>1.0214285714285714</c:v>
                </c:pt>
                <c:pt idx="61">
                  <c:v>1.0214285714285714</c:v>
                </c:pt>
                <c:pt idx="62">
                  <c:v>1.0214285714285714</c:v>
                </c:pt>
                <c:pt idx="63">
                  <c:v>1.0214285714285714</c:v>
                </c:pt>
                <c:pt idx="64">
                  <c:v>1.0214285714285714</c:v>
                </c:pt>
                <c:pt idx="65">
                  <c:v>1.0214285714285714</c:v>
                </c:pt>
                <c:pt idx="66">
                  <c:v>1.0214285714285714</c:v>
                </c:pt>
                <c:pt idx="67">
                  <c:v>1.0214285714285714</c:v>
                </c:pt>
                <c:pt idx="68">
                  <c:v>1.0214285714285714</c:v>
                </c:pt>
                <c:pt idx="69">
                  <c:v>1.0214285714285714</c:v>
                </c:pt>
                <c:pt idx="70">
                  <c:v>1.0214285714285714</c:v>
                </c:pt>
                <c:pt idx="71">
                  <c:v>1.0214285714285714</c:v>
                </c:pt>
              </c:numCache>
            </c:numRef>
          </c:yVal>
          <c:smooth val="1"/>
          <c:extLst>
            <c:ext xmlns:c16="http://schemas.microsoft.com/office/drawing/2014/chart" uri="{C3380CC4-5D6E-409C-BE32-E72D297353CC}">
              <c16:uniqueId val="{00000002-187E-40B0-80DD-56D85B6569F3}"/>
            </c:ext>
          </c:extLst>
        </c:ser>
        <c:ser>
          <c:idx val="3"/>
          <c:order val="3"/>
          <c:tx>
            <c:v>No Load Gain Curve</c:v>
          </c:tx>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calculations'!$AO$66:$AO$140</c:f>
              <c:numCache>
                <c:formatCode>0.00</c:formatCode>
                <c:ptCount val="75"/>
                <c:pt idx="0">
                  <c:v>0</c:v>
                </c:pt>
                <c:pt idx="1">
                  <c:v>2.4942841577813877E-2</c:v>
                </c:pt>
                <c:pt idx="2">
                  <c:v>0.10874671713298018</c:v>
                </c:pt>
                <c:pt idx="3">
                  <c:v>0.28783586266898742</c:v>
                </c:pt>
                <c:pt idx="4">
                  <c:v>0.67949253697266376</c:v>
                </c:pt>
                <c:pt idx="5">
                  <c:v>1.8354952705362038</c:v>
                </c:pt>
                <c:pt idx="6">
                  <c:v>24.14275494911853</c:v>
                </c:pt>
                <c:pt idx="7">
                  <c:v>3.8125511959514706</c:v>
                </c:pt>
                <c:pt idx="8">
                  <c:v>2.1771072909926206</c:v>
                </c:pt>
                <c:pt idx="9">
                  <c:v>1.6823308684263731</c:v>
                </c:pt>
                <c:pt idx="10">
                  <c:v>1.4470904806060321</c:v>
                </c:pt>
                <c:pt idx="11">
                  <c:v>1.3114133954698468</c:v>
                </c:pt>
                <c:pt idx="12">
                  <c:v>1.2241199818356372</c:v>
                </c:pt>
                <c:pt idx="13">
                  <c:v>1.1638303269748371</c:v>
                </c:pt>
                <c:pt idx="14">
                  <c:v>1.120058950491974</c:v>
                </c:pt>
                <c:pt idx="15">
                  <c:v>1.0870752883378505</c:v>
                </c:pt>
                <c:pt idx="16">
                  <c:v>1.0614920898862648</c:v>
                </c:pt>
                <c:pt idx="17">
                  <c:v>1.0411844203496805</c:v>
                </c:pt>
                <c:pt idx="18">
                  <c:v>1.024755353799899</c:v>
                </c:pt>
                <c:pt idx="19">
                  <c:v>1.0112511521246246</c:v>
                </c:pt>
                <c:pt idx="20">
                  <c:v>1</c:v>
                </c:pt>
                <c:pt idx="21">
                  <c:v>0.99051608216816867</c:v>
                </c:pt>
                <c:pt idx="22">
                  <c:v>0.98244013289861454</c:v>
                </c:pt>
                <c:pt idx="23">
                  <c:v>0.97550128433758532</c:v>
                </c:pt>
                <c:pt idx="24">
                  <c:v>0.96949184023103641</c:v>
                </c:pt>
                <c:pt idx="25">
                  <c:v>0.96425015748758558</c:v>
                </c:pt>
                <c:pt idx="26">
                  <c:v>0.9596487623501766</c:v>
                </c:pt>
                <c:pt idx="27">
                  <c:v>0.95558593285176385</c:v>
                </c:pt>
                <c:pt idx="28">
                  <c:v>0.95197962869582797</c:v>
                </c:pt>
                <c:pt idx="29">
                  <c:v>0.94876304301684689</c:v>
                </c:pt>
                <c:pt idx="30">
                  <c:v>0.94588129507200958</c:v>
                </c:pt>
                <c:pt idx="31">
                  <c:v>0.94328893868590324</c:v>
                </c:pt>
                <c:pt idx="32">
                  <c:v>0.94094806262042452</c:v>
                </c:pt>
                <c:pt idx="33">
                  <c:v>0.93882682627756753</c:v>
                </c:pt>
                <c:pt idx="34">
                  <c:v>0.93689831954176483</c:v>
                </c:pt>
                <c:pt idx="35">
                  <c:v>0.93513966672239623</c:v>
                </c:pt>
                <c:pt idx="36">
                  <c:v>0.93353131625536023</c:v>
                </c:pt>
                <c:pt idx="37">
                  <c:v>0.93205647314311224</c:v>
                </c:pt>
                <c:pt idx="38">
                  <c:v>0.93070064206754899</c:v>
                </c:pt>
                <c:pt idx="39">
                  <c:v>0.92945125703588671</c:v>
                </c:pt>
                <c:pt idx="40">
                  <c:v>0.92829737921668787</c:v>
                </c:pt>
                <c:pt idx="41">
                  <c:v>0.92722944890652625</c:v>
                </c:pt>
                <c:pt idx="42">
                  <c:v>0.92623908076289962</c:v>
                </c:pt>
                <c:pt idx="43">
                  <c:v>0.92531889384370969</c:v>
                </c:pt>
                <c:pt idx="44">
                  <c:v>0.92446236981859509</c:v>
                </c:pt>
                <c:pt idx="45">
                  <c:v>0.92366373411342995</c:v>
                </c:pt>
                <c:pt idx="46">
                  <c:v>0.92291785582503649</c:v>
                </c:pt>
                <c:pt idx="47">
                  <c:v>0.92222016307801813</c:v>
                </c:pt>
                <c:pt idx="48">
                  <c:v>0.92156657114775942</c:v>
                </c:pt>
                <c:pt idx="49">
                  <c:v>0.92095342118634438</c:v>
                </c:pt>
                <c:pt idx="50">
                  <c:v>0.92037742779351261</c:v>
                </c:pt>
                <c:pt idx="51">
                  <c:v>0.91983563399725321</c:v>
                </c:pt>
                <c:pt idx="52">
                  <c:v>0.91932537246637813</c:v>
                </c:pt>
                <c:pt idx="53">
                  <c:v>0.91884423198468013</c:v>
                </c:pt>
                <c:pt idx="54">
                  <c:v>0.91839002838354367</c:v>
                </c:pt>
                <c:pt idx="55">
                  <c:v>0.91796077926569808</c:v>
                </c:pt>
                <c:pt idx="56">
                  <c:v>0.9175546819634729</c:v>
                </c:pt>
                <c:pt idx="57">
                  <c:v>0.91717009426544238</c:v>
                </c:pt>
                <c:pt idx="58">
                  <c:v>0.91680551751986994</c:v>
                </c:pt>
                <c:pt idx="59">
                  <c:v>0.91645958178471487</c:v>
                </c:pt>
                <c:pt idx="60">
                  <c:v>0.91613103274490348</c:v>
                </c:pt>
                <c:pt idx="61">
                  <c:v>0.9158187201597936</c:v>
                </c:pt>
                <c:pt idx="62">
                  <c:v>0.91552158763911973</c:v>
                </c:pt>
                <c:pt idx="63">
                  <c:v>0.91523866357512496</c:v>
                </c:pt>
                <c:pt idx="64">
                  <c:v>0.91496905308345922</c:v>
                </c:pt>
                <c:pt idx="65">
                  <c:v>0.91471193082626046</c:v>
                </c:pt>
                <c:pt idx="66">
                  <c:v>0.91446653460847649</c:v>
                </c:pt>
                <c:pt idx="67">
                  <c:v>0.91423215965342475</c:v>
                </c:pt>
                <c:pt idx="68">
                  <c:v>0.91400815347628728</c:v>
                </c:pt>
                <c:pt idx="69">
                  <c:v>0.91379391128504095</c:v>
                </c:pt>
                <c:pt idx="70">
                  <c:v>0.91358887184757176</c:v>
                </c:pt>
                <c:pt idx="71">
                  <c:v>0.91339251377161412</c:v>
                </c:pt>
              </c:numCache>
            </c:numRef>
          </c:yVal>
          <c:smooth val="1"/>
          <c:extLst>
            <c:ext xmlns:c16="http://schemas.microsoft.com/office/drawing/2014/chart" uri="{C3380CC4-5D6E-409C-BE32-E72D297353CC}">
              <c16:uniqueId val="{00000003-187E-40B0-80DD-56D85B6569F3}"/>
            </c:ext>
          </c:extLst>
        </c:ser>
        <c:dLbls>
          <c:showLegendKey val="0"/>
          <c:showVal val="0"/>
          <c:showCatName val="0"/>
          <c:showSerName val="0"/>
          <c:showPercent val="0"/>
          <c:showBubbleSize val="0"/>
        </c:dLbls>
        <c:axId val="56816128"/>
        <c:axId val="56816704"/>
      </c:scatterChart>
      <c:valAx>
        <c:axId val="56816128"/>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56816704"/>
        <c:crosses val="autoZero"/>
        <c:crossBetween val="midCat"/>
        <c:majorUnit val="0.5"/>
        <c:minorUnit val="0.1"/>
      </c:valAx>
      <c:valAx>
        <c:axId val="5681670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56816128"/>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calculations'!$S$66:$S$136</c:f>
              <c:numCache>
                <c:formatCode>0.00</c:formatCode>
                <c:ptCount val="71"/>
                <c:pt idx="0">
                  <c:v>0</c:v>
                </c:pt>
                <c:pt idx="1">
                  <c:v>2.4843387713614995E-2</c:v>
                </c:pt>
                <c:pt idx="2">
                  <c:v>0.10676064698136778</c:v>
                </c:pt>
                <c:pt idx="3">
                  <c:v>0.27271182337523447</c:v>
                </c:pt>
                <c:pt idx="4">
                  <c:v>0.58597542026562843</c:v>
                </c:pt>
                <c:pt idx="5">
                  <c:v>1.1528335817871886</c:v>
                </c:pt>
                <c:pt idx="6">
                  <c:v>1.8262823973487241</c:v>
                </c:pt>
                <c:pt idx="7">
                  <c:v>1.9158305488393488</c:v>
                </c:pt>
                <c:pt idx="8">
                  <c:v>1.6810661332469532</c:v>
                </c:pt>
                <c:pt idx="9">
                  <c:v>1.4823599475195142</c:v>
                </c:pt>
                <c:pt idx="10">
                  <c:v>1.3478649622446579</c:v>
                </c:pt>
                <c:pt idx="11">
                  <c:v>1.2563289272067129</c:v>
                </c:pt>
                <c:pt idx="12">
                  <c:v>1.1916502272330063</c:v>
                </c:pt>
                <c:pt idx="13">
                  <c:v>1.144181350311275</c:v>
                </c:pt>
                <c:pt idx="14">
                  <c:v>1.1081681924878279</c:v>
                </c:pt>
                <c:pt idx="15">
                  <c:v>1.0800624206886358</c:v>
                </c:pt>
                <c:pt idx="16">
                  <c:v>1.057590180679024</c:v>
                </c:pt>
                <c:pt idx="17">
                  <c:v>1.0392410504335348</c:v>
                </c:pt>
                <c:pt idx="18">
                  <c:v>1.0239793017987036</c:v>
                </c:pt>
                <c:pt idx="19">
                  <c:v>1.0110747405548686</c:v>
                </c:pt>
                <c:pt idx="20">
                  <c:v>1</c:v>
                </c:pt>
                <c:pt idx="21">
                  <c:v>0.99036609410959509</c:v>
                </c:pt>
                <c:pt idx="22">
                  <c:v>0.98188075915259299</c:v>
                </c:pt>
                <c:pt idx="23">
                  <c:v>0.97432080057557524</c:v>
                </c:pt>
                <c:pt idx="24">
                  <c:v>0.96751329540389286</c:v>
                </c:pt>
                <c:pt idx="25">
                  <c:v>0.96132253953880586</c:v>
                </c:pt>
                <c:pt idx="26">
                  <c:v>0.95564080927177086</c:v>
                </c:pt>
                <c:pt idx="27">
                  <c:v>0.95038170870921213</c:v>
                </c:pt>
                <c:pt idx="28">
                  <c:v>0.94547530389657553</c:v>
                </c:pt>
                <c:pt idx="29">
                  <c:v>0.9408645128807871</c:v>
                </c:pt>
                <c:pt idx="30">
                  <c:v>0.93650239259087142</c:v>
                </c:pt>
                <c:pt idx="31">
                  <c:v>0.9323500753680859</c:v>
                </c:pt>
                <c:pt idx="32">
                  <c:v>0.92837518234449834</c:v>
                </c:pt>
                <c:pt idx="33">
                  <c:v>0.92455059110834159</c:v>
                </c:pt>
                <c:pt idx="34">
                  <c:v>0.92085346956463798</c:v>
                </c:pt>
                <c:pt idx="35">
                  <c:v>0.91726451189204095</c:v>
                </c:pt>
                <c:pt idx="36">
                  <c:v>0.91376732941986216</c:v>
                </c:pt>
                <c:pt idx="37">
                  <c:v>0.91034796133426077</c:v>
                </c:pt>
                <c:pt idx="38">
                  <c:v>0.90699447885255036</c:v>
                </c:pt>
                <c:pt idx="39">
                  <c:v>0.90369666287898232</c:v>
                </c:pt>
                <c:pt idx="40">
                  <c:v>0.90044573985678056</c:v>
                </c:pt>
                <c:pt idx="41">
                  <c:v>0.89723416403152079</c:v>
                </c:pt>
                <c:pt idx="42">
                  <c:v>0.89405543697008361</c:v>
                </c:pt>
                <c:pt idx="43">
                  <c:v>0.89090395717082249</c:v>
                </c:pt>
                <c:pt idx="44">
                  <c:v>0.88777489412061084</c:v>
                </c:pt>
                <c:pt idx="45">
                  <c:v>0.88466408232351434</c:v>
                </c:pt>
                <c:pt idx="46">
                  <c:v>0.88156793173107972</c:v>
                </c:pt>
                <c:pt idx="47">
                  <c:v>0.87848335171001457</c:v>
                </c:pt>
                <c:pt idx="48">
                  <c:v>0.8754076862366551</c:v>
                </c:pt>
                <c:pt idx="49">
                  <c:v>0.87233865844453917</c:v>
                </c:pt>
                <c:pt idx="50">
                  <c:v>0.86927432299818386</c:v>
                </c:pt>
                <c:pt idx="51">
                  <c:v>0.8662130250428266</c:v>
                </c:pt>
                <c:pt idx="52">
                  <c:v>0.86315336470186443</c:v>
                </c:pt>
                <c:pt idx="53">
                  <c:v>0.8600941662725643</c:v>
                </c:pt>
                <c:pt idx="54">
                  <c:v>0.85703445141550016</c:v>
                </c:pt>
                <c:pt idx="55">
                  <c:v>0.85397341575096453</c:v>
                </c:pt>
                <c:pt idx="56">
                  <c:v>0.85091040837190379</c:v>
                </c:pt>
                <c:pt idx="57">
                  <c:v>0.84784491386183747</c:v>
                </c:pt>
                <c:pt idx="58">
                  <c:v>0.84477653647129014</c:v>
                </c:pt>
                <c:pt idx="59">
                  <c:v>0.8417049861599688</c:v>
                </c:pt>
                <c:pt idx="60">
                  <c:v>0.83863006625655701</c:v>
                </c:pt>
                <c:pt idx="61">
                  <c:v>0.83555166252510027</c:v>
                </c:pt>
                <c:pt idx="62">
                  <c:v>0.83246973345798314</c:v>
                </c:pt>
                <c:pt idx="63">
                  <c:v>0.82938430164149279</c:v>
                </c:pt>
                <c:pt idx="64">
                  <c:v>0.82629544606181127</c:v>
                </c:pt>
                <c:pt idx="65">
                  <c:v>0.8232032952377224</c:v>
                </c:pt>
                <c:pt idx="66">
                  <c:v>0.82010802108189984</c:v>
                </c:pt>
                <c:pt idx="67">
                  <c:v>0.81700983340585664</c:v>
                </c:pt>
                <c:pt idx="68">
                  <c:v>0.81390897499488735</c:v>
                </c:pt>
                <c:pt idx="69">
                  <c:v>0.81080571718893479</c:v>
                </c:pt>
                <c:pt idx="70">
                  <c:v>0.80770035591349199</c:v>
                </c:pt>
              </c:numCache>
            </c:numRef>
          </c:yVal>
          <c:smooth val="1"/>
          <c:extLst>
            <c:ext xmlns:c16="http://schemas.microsoft.com/office/drawing/2014/chart" uri="{C3380CC4-5D6E-409C-BE32-E72D297353CC}">
              <c16:uniqueId val="{00000000-670A-4CFC-A584-9F1578E07622}"/>
            </c:ext>
          </c:extLst>
        </c:ser>
        <c:ser>
          <c:idx val="1"/>
          <c:order val="1"/>
          <c:tx>
            <c:v>Mg(max)</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calculations'!$U$66:$U$140</c:f>
              <c:numCache>
                <c:formatCode>0.00</c:formatCode>
                <c:ptCount val="75"/>
                <c:pt idx="0">
                  <c:v>1.7671874999999999</c:v>
                </c:pt>
                <c:pt idx="1">
                  <c:v>1.7671874999999999</c:v>
                </c:pt>
                <c:pt idx="2">
                  <c:v>1.7671874999999999</c:v>
                </c:pt>
                <c:pt idx="3">
                  <c:v>1.7671874999999999</c:v>
                </c:pt>
                <c:pt idx="4">
                  <c:v>1.7671874999999999</c:v>
                </c:pt>
                <c:pt idx="5">
                  <c:v>1.7671874999999999</c:v>
                </c:pt>
                <c:pt idx="6">
                  <c:v>1.7671874999999999</c:v>
                </c:pt>
                <c:pt idx="7">
                  <c:v>1.7671874999999999</c:v>
                </c:pt>
                <c:pt idx="8">
                  <c:v>1.7671874999999999</c:v>
                </c:pt>
                <c:pt idx="9">
                  <c:v>1.7671874999999999</c:v>
                </c:pt>
                <c:pt idx="10">
                  <c:v>1.7671874999999999</c:v>
                </c:pt>
                <c:pt idx="11">
                  <c:v>1.7671874999999999</c:v>
                </c:pt>
                <c:pt idx="12">
                  <c:v>1.7671874999999999</c:v>
                </c:pt>
                <c:pt idx="13">
                  <c:v>1.7671874999999999</c:v>
                </c:pt>
                <c:pt idx="14">
                  <c:v>1.7671874999999999</c:v>
                </c:pt>
                <c:pt idx="15">
                  <c:v>1.7671874999999999</c:v>
                </c:pt>
                <c:pt idx="16">
                  <c:v>1.7671874999999999</c:v>
                </c:pt>
                <c:pt idx="17">
                  <c:v>1.7671874999999999</c:v>
                </c:pt>
                <c:pt idx="18">
                  <c:v>1.7671874999999999</c:v>
                </c:pt>
                <c:pt idx="19">
                  <c:v>1.7671874999999999</c:v>
                </c:pt>
                <c:pt idx="20">
                  <c:v>1.7671874999999999</c:v>
                </c:pt>
                <c:pt idx="21">
                  <c:v>1.7671874999999999</c:v>
                </c:pt>
                <c:pt idx="22">
                  <c:v>1.7671874999999999</c:v>
                </c:pt>
                <c:pt idx="23">
                  <c:v>1.7671874999999999</c:v>
                </c:pt>
                <c:pt idx="24">
                  <c:v>1.7671874999999999</c:v>
                </c:pt>
                <c:pt idx="25">
                  <c:v>1.7671874999999999</c:v>
                </c:pt>
                <c:pt idx="26">
                  <c:v>1.7671874999999999</c:v>
                </c:pt>
                <c:pt idx="27">
                  <c:v>1.7671874999999999</c:v>
                </c:pt>
                <c:pt idx="28">
                  <c:v>1.7671874999999999</c:v>
                </c:pt>
                <c:pt idx="29">
                  <c:v>1.7671874999999999</c:v>
                </c:pt>
                <c:pt idx="30">
                  <c:v>1.7671874999999999</c:v>
                </c:pt>
                <c:pt idx="31">
                  <c:v>1.7671874999999999</c:v>
                </c:pt>
                <c:pt idx="32">
                  <c:v>1.7671874999999999</c:v>
                </c:pt>
                <c:pt idx="33">
                  <c:v>1.7671874999999999</c:v>
                </c:pt>
                <c:pt idx="34">
                  <c:v>1.7671874999999999</c:v>
                </c:pt>
                <c:pt idx="35">
                  <c:v>1.7671874999999999</c:v>
                </c:pt>
                <c:pt idx="36">
                  <c:v>1.7671874999999999</c:v>
                </c:pt>
                <c:pt idx="37">
                  <c:v>1.7671874999999999</c:v>
                </c:pt>
                <c:pt idx="38">
                  <c:v>1.7671874999999999</c:v>
                </c:pt>
                <c:pt idx="39">
                  <c:v>1.7671874999999999</c:v>
                </c:pt>
                <c:pt idx="40">
                  <c:v>1.7671874999999999</c:v>
                </c:pt>
                <c:pt idx="41">
                  <c:v>1.7671874999999999</c:v>
                </c:pt>
                <c:pt idx="42">
                  <c:v>1.7671874999999999</c:v>
                </c:pt>
                <c:pt idx="43">
                  <c:v>1.7671874999999999</c:v>
                </c:pt>
                <c:pt idx="44">
                  <c:v>1.7671874999999999</c:v>
                </c:pt>
                <c:pt idx="45">
                  <c:v>1.7671874999999999</c:v>
                </c:pt>
                <c:pt idx="46">
                  <c:v>1.7671874999999999</c:v>
                </c:pt>
                <c:pt idx="47">
                  <c:v>1.7671874999999999</c:v>
                </c:pt>
                <c:pt idx="48">
                  <c:v>1.7671874999999999</c:v>
                </c:pt>
                <c:pt idx="49">
                  <c:v>1.7671874999999999</c:v>
                </c:pt>
                <c:pt idx="50">
                  <c:v>1.7671874999999999</c:v>
                </c:pt>
                <c:pt idx="51">
                  <c:v>1.7671874999999999</c:v>
                </c:pt>
                <c:pt idx="52">
                  <c:v>1.7671874999999999</c:v>
                </c:pt>
                <c:pt idx="53">
                  <c:v>1.7671874999999999</c:v>
                </c:pt>
                <c:pt idx="54">
                  <c:v>1.7671874999999999</c:v>
                </c:pt>
                <c:pt idx="55">
                  <c:v>1.7671874999999999</c:v>
                </c:pt>
                <c:pt idx="56">
                  <c:v>1.7671874999999999</c:v>
                </c:pt>
                <c:pt idx="57">
                  <c:v>1.7671874999999999</c:v>
                </c:pt>
                <c:pt idx="58">
                  <c:v>1.7671874999999999</c:v>
                </c:pt>
                <c:pt idx="59">
                  <c:v>1.7671874999999999</c:v>
                </c:pt>
                <c:pt idx="60">
                  <c:v>1.7671874999999999</c:v>
                </c:pt>
                <c:pt idx="61">
                  <c:v>1.7671874999999999</c:v>
                </c:pt>
                <c:pt idx="62">
                  <c:v>1.7671874999999999</c:v>
                </c:pt>
                <c:pt idx="63">
                  <c:v>1.7671874999999999</c:v>
                </c:pt>
                <c:pt idx="64">
                  <c:v>1.7671874999999999</c:v>
                </c:pt>
                <c:pt idx="65">
                  <c:v>1.7671874999999999</c:v>
                </c:pt>
                <c:pt idx="66">
                  <c:v>1.7671874999999999</c:v>
                </c:pt>
                <c:pt idx="67">
                  <c:v>1.7671874999999999</c:v>
                </c:pt>
                <c:pt idx="68">
                  <c:v>1.7671874999999999</c:v>
                </c:pt>
                <c:pt idx="69">
                  <c:v>1.7671874999999999</c:v>
                </c:pt>
                <c:pt idx="70">
                  <c:v>1.7671874999999999</c:v>
                </c:pt>
                <c:pt idx="71">
                  <c:v>1.7671874999999999</c:v>
                </c:pt>
              </c:numCache>
            </c:numRef>
          </c:yVal>
          <c:smooth val="1"/>
          <c:extLst>
            <c:ext xmlns:c16="http://schemas.microsoft.com/office/drawing/2014/chart" uri="{C3380CC4-5D6E-409C-BE32-E72D297353CC}">
              <c16:uniqueId val="{00000001-670A-4CFC-A584-9F1578E07622}"/>
            </c:ext>
          </c:extLst>
        </c:ser>
        <c:ser>
          <c:idx val="2"/>
          <c:order val="2"/>
          <c:tx>
            <c:v>Mg(min)</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calculations'!$V$66:$V$140</c:f>
              <c:numCache>
                <c:formatCode>0.00</c:formatCode>
                <c:ptCount val="75"/>
                <c:pt idx="0">
                  <c:v>1.0214285714285714</c:v>
                </c:pt>
                <c:pt idx="1">
                  <c:v>1.0214285714285714</c:v>
                </c:pt>
                <c:pt idx="2">
                  <c:v>1.0214285714285714</c:v>
                </c:pt>
                <c:pt idx="3">
                  <c:v>1.0214285714285714</c:v>
                </c:pt>
                <c:pt idx="4">
                  <c:v>1.0214285714285714</c:v>
                </c:pt>
                <c:pt idx="5">
                  <c:v>1.0214285714285714</c:v>
                </c:pt>
                <c:pt idx="6">
                  <c:v>1.0214285714285714</c:v>
                </c:pt>
                <c:pt idx="7">
                  <c:v>1.0214285714285714</c:v>
                </c:pt>
                <c:pt idx="8">
                  <c:v>1.0214285714285714</c:v>
                </c:pt>
                <c:pt idx="9">
                  <c:v>1.0214285714285714</c:v>
                </c:pt>
                <c:pt idx="10">
                  <c:v>1.0214285714285714</c:v>
                </c:pt>
                <c:pt idx="11">
                  <c:v>1.0214285714285714</c:v>
                </c:pt>
                <c:pt idx="12">
                  <c:v>1.0214285714285714</c:v>
                </c:pt>
                <c:pt idx="13">
                  <c:v>1.0214285714285714</c:v>
                </c:pt>
                <c:pt idx="14">
                  <c:v>1.0214285714285714</c:v>
                </c:pt>
                <c:pt idx="15">
                  <c:v>1.0214285714285714</c:v>
                </c:pt>
                <c:pt idx="16">
                  <c:v>1.0214285714285714</c:v>
                </c:pt>
                <c:pt idx="17">
                  <c:v>1.0214285714285714</c:v>
                </c:pt>
                <c:pt idx="18">
                  <c:v>1.0214285714285714</c:v>
                </c:pt>
                <c:pt idx="19">
                  <c:v>1.0214285714285714</c:v>
                </c:pt>
                <c:pt idx="20">
                  <c:v>1.0214285714285714</c:v>
                </c:pt>
                <c:pt idx="21">
                  <c:v>1.0214285714285714</c:v>
                </c:pt>
                <c:pt idx="22">
                  <c:v>1.0214285714285714</c:v>
                </c:pt>
                <c:pt idx="23">
                  <c:v>1.0214285714285714</c:v>
                </c:pt>
                <c:pt idx="24">
                  <c:v>1.0214285714285714</c:v>
                </c:pt>
                <c:pt idx="25">
                  <c:v>1.0214285714285714</c:v>
                </c:pt>
                <c:pt idx="26">
                  <c:v>1.0214285714285714</c:v>
                </c:pt>
                <c:pt idx="27">
                  <c:v>1.0214285714285714</c:v>
                </c:pt>
                <c:pt idx="28">
                  <c:v>1.0214285714285714</c:v>
                </c:pt>
                <c:pt idx="29">
                  <c:v>1.0214285714285714</c:v>
                </c:pt>
                <c:pt idx="30">
                  <c:v>1.0214285714285714</c:v>
                </c:pt>
                <c:pt idx="31">
                  <c:v>1.0214285714285714</c:v>
                </c:pt>
                <c:pt idx="32">
                  <c:v>1.0214285714285714</c:v>
                </c:pt>
                <c:pt idx="33">
                  <c:v>1.0214285714285714</c:v>
                </c:pt>
                <c:pt idx="34">
                  <c:v>1.0214285714285714</c:v>
                </c:pt>
                <c:pt idx="35">
                  <c:v>1.0214285714285714</c:v>
                </c:pt>
                <c:pt idx="36">
                  <c:v>1.0214285714285714</c:v>
                </c:pt>
                <c:pt idx="37">
                  <c:v>1.0214285714285714</c:v>
                </c:pt>
                <c:pt idx="38">
                  <c:v>1.0214285714285714</c:v>
                </c:pt>
                <c:pt idx="39">
                  <c:v>1.0214285714285714</c:v>
                </c:pt>
                <c:pt idx="40">
                  <c:v>1.0214285714285714</c:v>
                </c:pt>
                <c:pt idx="41">
                  <c:v>1.0214285714285714</c:v>
                </c:pt>
                <c:pt idx="42">
                  <c:v>1.0214285714285714</c:v>
                </c:pt>
                <c:pt idx="43">
                  <c:v>1.0214285714285714</c:v>
                </c:pt>
                <c:pt idx="44">
                  <c:v>1.0214285714285714</c:v>
                </c:pt>
                <c:pt idx="45">
                  <c:v>1.0214285714285714</c:v>
                </c:pt>
                <c:pt idx="46">
                  <c:v>1.0214285714285714</c:v>
                </c:pt>
                <c:pt idx="47">
                  <c:v>1.0214285714285714</c:v>
                </c:pt>
                <c:pt idx="48">
                  <c:v>1.0214285714285714</c:v>
                </c:pt>
                <c:pt idx="49">
                  <c:v>1.0214285714285714</c:v>
                </c:pt>
                <c:pt idx="50">
                  <c:v>1.0214285714285714</c:v>
                </c:pt>
                <c:pt idx="51">
                  <c:v>1.0214285714285714</c:v>
                </c:pt>
                <c:pt idx="52">
                  <c:v>1.0214285714285714</c:v>
                </c:pt>
                <c:pt idx="53">
                  <c:v>1.0214285714285714</c:v>
                </c:pt>
                <c:pt idx="54">
                  <c:v>1.0214285714285714</c:v>
                </c:pt>
                <c:pt idx="55">
                  <c:v>1.0214285714285714</c:v>
                </c:pt>
                <c:pt idx="56">
                  <c:v>1.0214285714285714</c:v>
                </c:pt>
                <c:pt idx="57">
                  <c:v>1.0214285714285714</c:v>
                </c:pt>
                <c:pt idx="58">
                  <c:v>1.0214285714285714</c:v>
                </c:pt>
                <c:pt idx="59">
                  <c:v>1.0214285714285714</c:v>
                </c:pt>
                <c:pt idx="60">
                  <c:v>1.0214285714285714</c:v>
                </c:pt>
                <c:pt idx="61">
                  <c:v>1.0214285714285714</c:v>
                </c:pt>
                <c:pt idx="62">
                  <c:v>1.0214285714285714</c:v>
                </c:pt>
                <c:pt idx="63">
                  <c:v>1.0214285714285714</c:v>
                </c:pt>
                <c:pt idx="64">
                  <c:v>1.0214285714285714</c:v>
                </c:pt>
                <c:pt idx="65">
                  <c:v>1.0214285714285714</c:v>
                </c:pt>
                <c:pt idx="66">
                  <c:v>1.0214285714285714</c:v>
                </c:pt>
                <c:pt idx="67">
                  <c:v>1.0214285714285714</c:v>
                </c:pt>
                <c:pt idx="68">
                  <c:v>1.0214285714285714</c:v>
                </c:pt>
                <c:pt idx="69">
                  <c:v>1.0214285714285714</c:v>
                </c:pt>
                <c:pt idx="70">
                  <c:v>1.0214285714285714</c:v>
                </c:pt>
                <c:pt idx="71">
                  <c:v>1.0214285714285714</c:v>
                </c:pt>
              </c:numCache>
            </c:numRef>
          </c:yVal>
          <c:smooth val="1"/>
          <c:extLst>
            <c:ext xmlns:c16="http://schemas.microsoft.com/office/drawing/2014/chart" uri="{C3380CC4-5D6E-409C-BE32-E72D297353CC}">
              <c16:uniqueId val="{00000002-670A-4CFC-A584-9F1578E07622}"/>
            </c:ext>
          </c:extLst>
        </c:ser>
        <c:ser>
          <c:idx val="3"/>
          <c:order val="3"/>
          <c:spPr>
            <a:ln>
              <a:prstDash val="sysDash"/>
            </a:ln>
          </c:spPr>
          <c:marker>
            <c:symbol val="none"/>
          </c:marker>
          <c:xVal>
            <c:numRef>
              <c:f>'tables and calculations'!$C$66:$C$136</c:f>
              <c:numCache>
                <c:formatCode>0.00</c:formatCode>
                <c:ptCount val="7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numCache>
            </c:numRef>
          </c:xVal>
          <c:yVal>
            <c:numRef>
              <c:f>'tables and calculations'!$AO$66:$AO$136</c:f>
              <c:numCache>
                <c:formatCode>0.00</c:formatCode>
                <c:ptCount val="71"/>
                <c:pt idx="0">
                  <c:v>0</c:v>
                </c:pt>
                <c:pt idx="1">
                  <c:v>2.4942841577813877E-2</c:v>
                </c:pt>
                <c:pt idx="2">
                  <c:v>0.10874671713298018</c:v>
                </c:pt>
                <c:pt idx="3">
                  <c:v>0.28783586266898742</c:v>
                </c:pt>
                <c:pt idx="4">
                  <c:v>0.67949253697266376</c:v>
                </c:pt>
                <c:pt idx="5">
                  <c:v>1.8354952705362038</c:v>
                </c:pt>
                <c:pt idx="6">
                  <c:v>24.14275494911853</c:v>
                </c:pt>
                <c:pt idx="7">
                  <c:v>3.8125511959514706</c:v>
                </c:pt>
                <c:pt idx="8">
                  <c:v>2.1771072909926206</c:v>
                </c:pt>
                <c:pt idx="9">
                  <c:v>1.6823308684263731</c:v>
                </c:pt>
                <c:pt idx="10">
                  <c:v>1.4470904806060321</c:v>
                </c:pt>
                <c:pt idx="11">
                  <c:v>1.3114133954698468</c:v>
                </c:pt>
                <c:pt idx="12">
                  <c:v>1.2241199818356372</c:v>
                </c:pt>
                <c:pt idx="13">
                  <c:v>1.1638303269748371</c:v>
                </c:pt>
                <c:pt idx="14">
                  <c:v>1.120058950491974</c:v>
                </c:pt>
                <c:pt idx="15">
                  <c:v>1.0870752883378505</c:v>
                </c:pt>
                <c:pt idx="16">
                  <c:v>1.0614920898862648</c:v>
                </c:pt>
                <c:pt idx="17">
                  <c:v>1.0411844203496805</c:v>
                </c:pt>
                <c:pt idx="18">
                  <c:v>1.024755353799899</c:v>
                </c:pt>
                <c:pt idx="19">
                  <c:v>1.0112511521246246</c:v>
                </c:pt>
                <c:pt idx="20">
                  <c:v>1</c:v>
                </c:pt>
                <c:pt idx="21">
                  <c:v>0.99051608216816867</c:v>
                </c:pt>
                <c:pt idx="22">
                  <c:v>0.98244013289861454</c:v>
                </c:pt>
                <c:pt idx="23">
                  <c:v>0.97550128433758532</c:v>
                </c:pt>
                <c:pt idx="24">
                  <c:v>0.96949184023103641</c:v>
                </c:pt>
                <c:pt idx="25">
                  <c:v>0.96425015748758558</c:v>
                </c:pt>
                <c:pt idx="26">
                  <c:v>0.9596487623501766</c:v>
                </c:pt>
                <c:pt idx="27">
                  <c:v>0.95558593285176385</c:v>
                </c:pt>
                <c:pt idx="28">
                  <c:v>0.95197962869582797</c:v>
                </c:pt>
                <c:pt idx="29">
                  <c:v>0.94876304301684689</c:v>
                </c:pt>
                <c:pt idx="30">
                  <c:v>0.94588129507200958</c:v>
                </c:pt>
                <c:pt idx="31">
                  <c:v>0.94328893868590324</c:v>
                </c:pt>
                <c:pt idx="32">
                  <c:v>0.94094806262042452</c:v>
                </c:pt>
                <c:pt idx="33">
                  <c:v>0.93882682627756753</c:v>
                </c:pt>
                <c:pt idx="34">
                  <c:v>0.93689831954176483</c:v>
                </c:pt>
                <c:pt idx="35">
                  <c:v>0.93513966672239623</c:v>
                </c:pt>
                <c:pt idx="36">
                  <c:v>0.93353131625536023</c:v>
                </c:pt>
                <c:pt idx="37">
                  <c:v>0.93205647314311224</c:v>
                </c:pt>
                <c:pt idx="38">
                  <c:v>0.93070064206754899</c:v>
                </c:pt>
                <c:pt idx="39">
                  <c:v>0.92945125703588671</c:v>
                </c:pt>
                <c:pt idx="40">
                  <c:v>0.92829737921668787</c:v>
                </c:pt>
                <c:pt idx="41">
                  <c:v>0.92722944890652625</c:v>
                </c:pt>
                <c:pt idx="42">
                  <c:v>0.92623908076289962</c:v>
                </c:pt>
                <c:pt idx="43">
                  <c:v>0.92531889384370969</c:v>
                </c:pt>
                <c:pt idx="44">
                  <c:v>0.92446236981859509</c:v>
                </c:pt>
                <c:pt idx="45">
                  <c:v>0.92366373411342995</c:v>
                </c:pt>
                <c:pt idx="46">
                  <c:v>0.92291785582503649</c:v>
                </c:pt>
                <c:pt idx="47">
                  <c:v>0.92222016307801813</c:v>
                </c:pt>
                <c:pt idx="48">
                  <c:v>0.92156657114775942</c:v>
                </c:pt>
                <c:pt idx="49">
                  <c:v>0.92095342118634438</c:v>
                </c:pt>
                <c:pt idx="50">
                  <c:v>0.92037742779351261</c:v>
                </c:pt>
                <c:pt idx="51">
                  <c:v>0.91983563399725321</c:v>
                </c:pt>
                <c:pt idx="52">
                  <c:v>0.91932537246637813</c:v>
                </c:pt>
                <c:pt idx="53">
                  <c:v>0.91884423198468013</c:v>
                </c:pt>
                <c:pt idx="54">
                  <c:v>0.91839002838354367</c:v>
                </c:pt>
                <c:pt idx="55">
                  <c:v>0.91796077926569808</c:v>
                </c:pt>
                <c:pt idx="56">
                  <c:v>0.9175546819634729</c:v>
                </c:pt>
                <c:pt idx="57">
                  <c:v>0.91717009426544238</c:v>
                </c:pt>
                <c:pt idx="58">
                  <c:v>0.91680551751986994</c:v>
                </c:pt>
                <c:pt idx="59">
                  <c:v>0.91645958178471487</c:v>
                </c:pt>
                <c:pt idx="60">
                  <c:v>0.91613103274490348</c:v>
                </c:pt>
                <c:pt idx="61">
                  <c:v>0.9158187201597936</c:v>
                </c:pt>
                <c:pt idx="62">
                  <c:v>0.91552158763911973</c:v>
                </c:pt>
                <c:pt idx="63">
                  <c:v>0.91523866357512496</c:v>
                </c:pt>
                <c:pt idx="64">
                  <c:v>0.91496905308345922</c:v>
                </c:pt>
                <c:pt idx="65">
                  <c:v>0.91471193082626046</c:v>
                </c:pt>
                <c:pt idx="66">
                  <c:v>0.91446653460847649</c:v>
                </c:pt>
                <c:pt idx="67">
                  <c:v>0.91423215965342475</c:v>
                </c:pt>
                <c:pt idx="68">
                  <c:v>0.91400815347628728</c:v>
                </c:pt>
                <c:pt idx="69">
                  <c:v>0.91379391128504095</c:v>
                </c:pt>
                <c:pt idx="70">
                  <c:v>0.91358887184757176</c:v>
                </c:pt>
              </c:numCache>
            </c:numRef>
          </c:yVal>
          <c:smooth val="1"/>
          <c:extLst>
            <c:ext xmlns:c16="http://schemas.microsoft.com/office/drawing/2014/chart" uri="{C3380CC4-5D6E-409C-BE32-E72D297353CC}">
              <c16:uniqueId val="{00000003-670A-4CFC-A584-9F1578E07622}"/>
            </c:ext>
          </c:extLst>
        </c:ser>
        <c:dLbls>
          <c:showLegendKey val="0"/>
          <c:showVal val="0"/>
          <c:showCatName val="0"/>
          <c:showSerName val="0"/>
          <c:showPercent val="0"/>
          <c:showBubbleSize val="0"/>
        </c:dLbls>
        <c:axId val="115582656"/>
        <c:axId val="115583232"/>
      </c:scatterChart>
      <c:valAx>
        <c:axId val="11558265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15583232"/>
        <c:crosses val="autoZero"/>
        <c:crossBetween val="midCat"/>
        <c:majorUnit val="0.5"/>
        <c:minorUnit val="0.1"/>
      </c:valAx>
      <c:valAx>
        <c:axId val="115583232"/>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1558265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6EA0-4159-8EB2-E4E60977A3DB}"/>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6EA0-4159-8EB2-E4E60977A3DB}"/>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6EA0-4159-8EB2-E4E60977A3DB}"/>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6EA0-4159-8EB2-E4E60977A3DB}"/>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6EA0-4159-8EB2-E4E60977A3DB}"/>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6EA0-4159-8EB2-E4E60977A3DB}"/>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6EA0-4159-8EB2-E4E60977A3DB}"/>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6EA0-4159-8EB2-E4E60977A3DB}"/>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6EA0-4159-8EB2-E4E60977A3DB}"/>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6EA0-4159-8EB2-E4E60977A3DB}"/>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6EA0-4159-8EB2-E4E60977A3DB}"/>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6EA0-4159-8EB2-E4E60977A3DB}"/>
            </c:ext>
          </c:extLst>
        </c:ser>
        <c:dLbls>
          <c:showLegendKey val="0"/>
          <c:showVal val="0"/>
          <c:showCatName val="0"/>
          <c:showSerName val="0"/>
          <c:showPercent val="0"/>
          <c:showBubbleSize val="0"/>
        </c:dLbls>
        <c:axId val="115585536"/>
        <c:axId val="115586112"/>
      </c:scatterChart>
      <c:valAx>
        <c:axId val="115585536"/>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ja-JP"/>
          </a:p>
        </c:txPr>
        <c:crossAx val="115586112"/>
        <c:crosses val="autoZero"/>
        <c:crossBetween val="midCat"/>
        <c:majorUnit val="5.000000000000001E-2"/>
        <c:minorUnit val="1.0000000000000002E-2"/>
      </c:valAx>
      <c:valAx>
        <c:axId val="115586112"/>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15585536"/>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calculations'!$S$66:$S$140</c:f>
              <c:numCache>
                <c:formatCode>0.00</c:formatCode>
                <c:ptCount val="75"/>
                <c:pt idx="0">
                  <c:v>0</c:v>
                </c:pt>
                <c:pt idx="1">
                  <c:v>2.4843387713614995E-2</c:v>
                </c:pt>
                <c:pt idx="2">
                  <c:v>0.10676064698136778</c:v>
                </c:pt>
                <c:pt idx="3">
                  <c:v>0.27271182337523447</c:v>
                </c:pt>
                <c:pt idx="4">
                  <c:v>0.58597542026562843</c:v>
                </c:pt>
                <c:pt idx="5">
                  <c:v>1.1528335817871886</c:v>
                </c:pt>
                <c:pt idx="6">
                  <c:v>1.8262823973487241</c:v>
                </c:pt>
                <c:pt idx="7">
                  <c:v>1.9158305488393488</c:v>
                </c:pt>
                <c:pt idx="8">
                  <c:v>1.6810661332469532</c:v>
                </c:pt>
                <c:pt idx="9">
                  <c:v>1.4823599475195142</c:v>
                </c:pt>
                <c:pt idx="10">
                  <c:v>1.3478649622446579</c:v>
                </c:pt>
                <c:pt idx="11">
                  <c:v>1.2563289272067129</c:v>
                </c:pt>
                <c:pt idx="12">
                  <c:v>1.1916502272330063</c:v>
                </c:pt>
                <c:pt idx="13">
                  <c:v>1.144181350311275</c:v>
                </c:pt>
                <c:pt idx="14">
                  <c:v>1.1081681924878279</c:v>
                </c:pt>
                <c:pt idx="15">
                  <c:v>1.0800624206886358</c:v>
                </c:pt>
                <c:pt idx="16">
                  <c:v>1.057590180679024</c:v>
                </c:pt>
                <c:pt idx="17">
                  <c:v>1.0392410504335348</c:v>
                </c:pt>
                <c:pt idx="18">
                  <c:v>1.0239793017987036</c:v>
                </c:pt>
                <c:pt idx="19">
                  <c:v>1.0110747405548686</c:v>
                </c:pt>
                <c:pt idx="20">
                  <c:v>1</c:v>
                </c:pt>
                <c:pt idx="21">
                  <c:v>0.99036609410959509</c:v>
                </c:pt>
                <c:pt idx="22">
                  <c:v>0.98188075915259299</c:v>
                </c:pt>
                <c:pt idx="23">
                  <c:v>0.97432080057557524</c:v>
                </c:pt>
                <c:pt idx="24">
                  <c:v>0.96751329540389286</c:v>
                </c:pt>
                <c:pt idx="25">
                  <c:v>0.96132253953880586</c:v>
                </c:pt>
                <c:pt idx="26">
                  <c:v>0.95564080927177086</c:v>
                </c:pt>
                <c:pt idx="27">
                  <c:v>0.95038170870921213</c:v>
                </c:pt>
                <c:pt idx="28">
                  <c:v>0.94547530389657553</c:v>
                </c:pt>
                <c:pt idx="29">
                  <c:v>0.9408645128807871</c:v>
                </c:pt>
                <c:pt idx="30">
                  <c:v>0.93650239259087142</c:v>
                </c:pt>
                <c:pt idx="31">
                  <c:v>0.9323500753680859</c:v>
                </c:pt>
                <c:pt idx="32">
                  <c:v>0.92837518234449834</c:v>
                </c:pt>
                <c:pt idx="33">
                  <c:v>0.92455059110834159</c:v>
                </c:pt>
                <c:pt idx="34">
                  <c:v>0.92085346956463798</c:v>
                </c:pt>
                <c:pt idx="35">
                  <c:v>0.91726451189204095</c:v>
                </c:pt>
                <c:pt idx="36">
                  <c:v>0.91376732941986216</c:v>
                </c:pt>
                <c:pt idx="37">
                  <c:v>0.91034796133426077</c:v>
                </c:pt>
                <c:pt idx="38">
                  <c:v>0.90699447885255036</c:v>
                </c:pt>
                <c:pt idx="39">
                  <c:v>0.90369666287898232</c:v>
                </c:pt>
                <c:pt idx="40">
                  <c:v>0.90044573985678056</c:v>
                </c:pt>
                <c:pt idx="41">
                  <c:v>0.89723416403152079</c:v>
                </c:pt>
                <c:pt idx="42">
                  <c:v>0.89405543697008361</c:v>
                </c:pt>
                <c:pt idx="43">
                  <c:v>0.89090395717082249</c:v>
                </c:pt>
                <c:pt idx="44">
                  <c:v>0.88777489412061084</c:v>
                </c:pt>
                <c:pt idx="45">
                  <c:v>0.88466408232351434</c:v>
                </c:pt>
                <c:pt idx="46">
                  <c:v>0.88156793173107972</c:v>
                </c:pt>
                <c:pt idx="47">
                  <c:v>0.87848335171001457</c:v>
                </c:pt>
                <c:pt idx="48">
                  <c:v>0.8754076862366551</c:v>
                </c:pt>
                <c:pt idx="49">
                  <c:v>0.87233865844453917</c:v>
                </c:pt>
                <c:pt idx="50">
                  <c:v>0.86927432299818386</c:v>
                </c:pt>
                <c:pt idx="51">
                  <c:v>0.8662130250428266</c:v>
                </c:pt>
                <c:pt idx="52">
                  <c:v>0.86315336470186443</c:v>
                </c:pt>
                <c:pt idx="53">
                  <c:v>0.8600941662725643</c:v>
                </c:pt>
                <c:pt idx="54">
                  <c:v>0.85703445141550016</c:v>
                </c:pt>
                <c:pt idx="55">
                  <c:v>0.85397341575096453</c:v>
                </c:pt>
                <c:pt idx="56">
                  <c:v>0.85091040837190379</c:v>
                </c:pt>
                <c:pt idx="57">
                  <c:v>0.84784491386183747</c:v>
                </c:pt>
                <c:pt idx="58">
                  <c:v>0.84477653647129014</c:v>
                </c:pt>
                <c:pt idx="59">
                  <c:v>0.8417049861599688</c:v>
                </c:pt>
                <c:pt idx="60">
                  <c:v>0.83863006625655701</c:v>
                </c:pt>
                <c:pt idx="61">
                  <c:v>0.83555166252510027</c:v>
                </c:pt>
                <c:pt idx="62">
                  <c:v>0.83246973345798314</c:v>
                </c:pt>
                <c:pt idx="63">
                  <c:v>0.82938430164149279</c:v>
                </c:pt>
                <c:pt idx="64">
                  <c:v>0.82629544606181127</c:v>
                </c:pt>
                <c:pt idx="65">
                  <c:v>0.8232032952377224</c:v>
                </c:pt>
                <c:pt idx="66">
                  <c:v>0.82010802108189984</c:v>
                </c:pt>
                <c:pt idx="67">
                  <c:v>0.81700983340585664</c:v>
                </c:pt>
                <c:pt idx="68">
                  <c:v>0.81390897499488735</c:v>
                </c:pt>
                <c:pt idx="69">
                  <c:v>0.81080571718893479</c:v>
                </c:pt>
                <c:pt idx="70">
                  <c:v>0.80770035591349199</c:v>
                </c:pt>
                <c:pt idx="71">
                  <c:v>0.80459320811168189</c:v>
                </c:pt>
              </c:numCache>
            </c:numRef>
          </c:yVal>
          <c:smooth val="1"/>
          <c:extLst>
            <c:ext xmlns:c16="http://schemas.microsoft.com/office/drawing/2014/chart" uri="{C3380CC4-5D6E-409C-BE32-E72D297353CC}">
              <c16:uniqueId val="{00000000-4A4C-442B-9782-5F90AED94EBF}"/>
            </c:ext>
          </c:extLst>
        </c:ser>
        <c:ser>
          <c:idx val="1"/>
          <c:order val="1"/>
          <c:tx>
            <c:v>Mg(nom)</c:v>
          </c:tx>
          <c:spPr>
            <a:ln>
              <a:solidFill>
                <a:schemeClr val="accent6"/>
              </a:solidFill>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'tables and calculations'!$AR$66:$AR$137</c:f>
              <c:numCache>
                <c:formatCode>0.00</c:formatCode>
                <c:ptCount val="72"/>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pt idx="37">
                  <c:v>1.1000000000000001</c:v>
                </c:pt>
                <c:pt idx="38">
                  <c:v>1.1000000000000001</c:v>
                </c:pt>
                <c:pt idx="39">
                  <c:v>1.1000000000000001</c:v>
                </c:pt>
                <c:pt idx="40">
                  <c:v>1.1000000000000001</c:v>
                </c:pt>
                <c:pt idx="41">
                  <c:v>1.1000000000000001</c:v>
                </c:pt>
                <c:pt idx="42">
                  <c:v>1.1000000000000001</c:v>
                </c:pt>
                <c:pt idx="43">
                  <c:v>1.1000000000000001</c:v>
                </c:pt>
                <c:pt idx="44">
                  <c:v>1.1000000000000001</c:v>
                </c:pt>
                <c:pt idx="45">
                  <c:v>1.1000000000000001</c:v>
                </c:pt>
                <c:pt idx="46">
                  <c:v>1.1000000000000001</c:v>
                </c:pt>
                <c:pt idx="47">
                  <c:v>1.1000000000000001</c:v>
                </c:pt>
                <c:pt idx="48">
                  <c:v>1.1000000000000001</c:v>
                </c:pt>
                <c:pt idx="49">
                  <c:v>1.1000000000000001</c:v>
                </c:pt>
                <c:pt idx="50">
                  <c:v>1.1000000000000001</c:v>
                </c:pt>
                <c:pt idx="51">
                  <c:v>1.1000000000000001</c:v>
                </c:pt>
                <c:pt idx="52">
                  <c:v>1.1000000000000001</c:v>
                </c:pt>
                <c:pt idx="53">
                  <c:v>1.1000000000000001</c:v>
                </c:pt>
                <c:pt idx="54">
                  <c:v>1.1000000000000001</c:v>
                </c:pt>
                <c:pt idx="55">
                  <c:v>1.1000000000000001</c:v>
                </c:pt>
                <c:pt idx="56">
                  <c:v>1.1000000000000001</c:v>
                </c:pt>
                <c:pt idx="57">
                  <c:v>1.1000000000000001</c:v>
                </c:pt>
                <c:pt idx="58">
                  <c:v>1.1000000000000001</c:v>
                </c:pt>
                <c:pt idx="59">
                  <c:v>1.1000000000000001</c:v>
                </c:pt>
                <c:pt idx="60">
                  <c:v>1.1000000000000001</c:v>
                </c:pt>
                <c:pt idx="61">
                  <c:v>1.1000000000000001</c:v>
                </c:pt>
                <c:pt idx="62">
                  <c:v>1.1000000000000001</c:v>
                </c:pt>
                <c:pt idx="63">
                  <c:v>1.1000000000000001</c:v>
                </c:pt>
                <c:pt idx="64">
                  <c:v>1.1000000000000001</c:v>
                </c:pt>
                <c:pt idx="65">
                  <c:v>1.1000000000000001</c:v>
                </c:pt>
                <c:pt idx="66">
                  <c:v>1.1000000000000001</c:v>
                </c:pt>
                <c:pt idx="67">
                  <c:v>1.1000000000000001</c:v>
                </c:pt>
                <c:pt idx="68">
                  <c:v>1.1000000000000001</c:v>
                </c:pt>
                <c:pt idx="69">
                  <c:v>1.1000000000000001</c:v>
                </c:pt>
                <c:pt idx="70">
                  <c:v>1.1000000000000001</c:v>
                </c:pt>
                <c:pt idx="71">
                  <c:v>1.1000000000000001</c:v>
                </c:pt>
              </c:numCache>
            </c:numRef>
          </c:yVal>
          <c:smooth val="1"/>
          <c:extLst>
            <c:ext xmlns:c16="http://schemas.microsoft.com/office/drawing/2014/chart" uri="{C3380CC4-5D6E-409C-BE32-E72D297353CC}">
              <c16:uniqueId val="{00000001-4A4C-442B-9782-5F90AED94EBF}"/>
            </c:ext>
          </c:extLst>
        </c:ser>
        <c:dLbls>
          <c:showLegendKey val="0"/>
          <c:showVal val="0"/>
          <c:showCatName val="0"/>
          <c:showSerName val="0"/>
          <c:showPercent val="0"/>
          <c:showBubbleSize val="0"/>
        </c:dLbls>
        <c:axId val="123634240"/>
        <c:axId val="123634816"/>
      </c:scatterChart>
      <c:valAx>
        <c:axId val="123634240"/>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3634816"/>
        <c:crosses val="autoZero"/>
        <c:crossBetween val="midCat"/>
        <c:majorUnit val="0.5"/>
        <c:minorUnit val="0.1"/>
      </c:valAx>
      <c:valAx>
        <c:axId val="123634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23634240"/>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calculations'!$D$278:$D$1367</c:f>
              <c:numCache>
                <c:formatCode>0.00E+00</c:formatCode>
                <c:ptCount val="1090"/>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calculations'!$H$278:$H$1367</c:f>
              <c:numCache>
                <c:formatCode>General</c:formatCode>
                <c:ptCount val="1090"/>
                <c:pt idx="0">
                  <c:v>-1.7387029706106849</c:v>
                </c:pt>
                <c:pt idx="1">
                  <c:v>-1.7396970651386372</c:v>
                </c:pt>
                <c:pt idx="2">
                  <c:v>-1.7413533769182465</c:v>
                </c:pt>
                <c:pt idx="3">
                  <c:v>-1.743671138125034</c:v>
                </c:pt>
                <c:pt idx="4">
                  <c:v>-1.7466492754541991</c:v>
                </c:pt>
                <c:pt idx="5">
                  <c:v>-1.7502864117635619</c:v>
                </c:pt>
                <c:pt idx="6">
                  <c:v>-1.7545808681769923</c:v>
                </c:pt>
                <c:pt idx="7">
                  <c:v>-1.7595306666414192</c:v>
                </c:pt>
                <c:pt idx="8">
                  <c:v>-1.7651335329294102</c:v>
                </c:pt>
                <c:pt idx="9">
                  <c:v>-1.7713869000776401</c:v>
                </c:pt>
                <c:pt idx="10">
                  <c:v>-1.8689330070840473</c:v>
                </c:pt>
                <c:pt idx="11">
                  <c:v>-2.0267285987553652</c:v>
                </c:pt>
                <c:pt idx="12">
                  <c:v>-2.2383026789345482</c:v>
                </c:pt>
                <c:pt idx="13">
                  <c:v>-2.4957978395359555</c:v>
                </c:pt>
                <c:pt idx="14">
                  <c:v>-2.7907966195887299</c:v>
                </c:pt>
                <c:pt idx="15">
                  <c:v>-3.115022201666779</c:v>
                </c:pt>
                <c:pt idx="16">
                  <c:v>-3.4608372147503426</c:v>
                </c:pt>
                <c:pt idx="17">
                  <c:v>-3.8215323389347367</c:v>
                </c:pt>
                <c:pt idx="18">
                  <c:v>-4.1914395146226031</c:v>
                </c:pt>
                <c:pt idx="19">
                  <c:v>-7.7480071764196072</c:v>
                </c:pt>
                <c:pt idx="20">
                  <c:v>-10.523023121678301</c:v>
                </c:pt>
                <c:pt idx="21">
                  <c:v>-12.625367301097164</c:v>
                </c:pt>
                <c:pt idx="22">
                  <c:v>-14.259391793460544</c:v>
                </c:pt>
                <c:pt idx="23">
                  <c:v>-15.561003930475692</c:v>
                </c:pt>
                <c:pt idx="24">
                  <c:v>-16.617562557296843</c:v>
                </c:pt>
                <c:pt idx="25">
                  <c:v>-17.487557109297196</c:v>
                </c:pt>
                <c:pt idx="26">
                  <c:v>-18.211977141599448</c:v>
                </c:pt>
                <c:pt idx="27">
                  <c:v>-18.820681515532215</c:v>
                </c:pt>
                <c:pt idx="28">
                  <c:v>-21.721294678951434</c:v>
                </c:pt>
                <c:pt idx="29">
                  <c:v>-22.572474088429892</c:v>
                </c:pt>
                <c:pt idx="30">
                  <c:v>-22.915592141669336</c:v>
                </c:pt>
                <c:pt idx="31">
                  <c:v>-23.084234136765861</c:v>
                </c:pt>
                <c:pt idx="32">
                  <c:v>-23.178706321237065</c:v>
                </c:pt>
                <c:pt idx="33">
                  <c:v>-23.236694248615215</c:v>
                </c:pt>
                <c:pt idx="34">
                  <c:v>-23.274755316989932</c:v>
                </c:pt>
                <c:pt idx="35">
                  <c:v>-23.301046710653619</c:v>
                </c:pt>
                <c:pt idx="36">
                  <c:v>-23.319952299923461</c:v>
                </c:pt>
              </c:numCache>
            </c:numRef>
          </c:yVal>
          <c:smooth val="1"/>
          <c:extLst>
            <c:ext xmlns:c16="http://schemas.microsoft.com/office/drawing/2014/chart" uri="{C3380CC4-5D6E-409C-BE32-E72D297353CC}">
              <c16:uniqueId val="{00000000-7150-4216-A348-731930391D88}"/>
            </c:ext>
          </c:extLst>
        </c:ser>
        <c:ser>
          <c:idx val="1"/>
          <c:order val="1"/>
          <c:tx>
            <c:v>Type II Inner Loop Compensator</c:v>
          </c:tx>
          <c:xVal>
            <c:numRef>
              <c:f>'tables and calculations'!$D$278:$D$1367</c:f>
              <c:numCache>
                <c:formatCode>0.00E+00</c:formatCode>
                <c:ptCount val="1090"/>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calculations'!$M$278:$M$1367</c:f>
              <c:numCache>
                <c:formatCode>General</c:formatCode>
                <c:ptCount val="1090"/>
                <c:pt idx="0">
                  <c:v>41.526540764238653</c:v>
                </c:pt>
                <c:pt idx="1">
                  <c:v>35.669377923507056</c:v>
                </c:pt>
                <c:pt idx="2">
                  <c:v>32.406901369146638</c:v>
                </c:pt>
                <c:pt idx="3">
                  <c:v>30.246858973326955</c:v>
                </c:pt>
                <c:pt idx="4">
                  <c:v>28.70838327665345</c:v>
                </c:pt>
                <c:pt idx="5">
                  <c:v>27.567751953829283</c:v>
                </c:pt>
                <c:pt idx="6">
                  <c:v>26.699602370292737</c:v>
                </c:pt>
                <c:pt idx="7">
                  <c:v>26.025766398431834</c:v>
                </c:pt>
                <c:pt idx="8">
                  <c:v>25.494264443297695</c:v>
                </c:pt>
                <c:pt idx="9">
                  <c:v>25.069097073840787</c:v>
                </c:pt>
                <c:pt idx="10">
                  <c:v>23.303350911175858</c:v>
                </c:pt>
                <c:pt idx="11">
                  <c:v>22.811779984515827</c:v>
                </c:pt>
                <c:pt idx="12">
                  <c:v>22.545010718697608</c:v>
                </c:pt>
                <c:pt idx="13">
                  <c:v>22.329822782293768</c:v>
                </c:pt>
                <c:pt idx="14">
                  <c:v>22.121583784344715</c:v>
                </c:pt>
                <c:pt idx="15">
                  <c:v>21.906420484661609</c:v>
                </c:pt>
                <c:pt idx="16">
                  <c:v>21.680239813720654</c:v>
                </c:pt>
                <c:pt idx="17">
                  <c:v>21.442628676407125</c:v>
                </c:pt>
                <c:pt idx="18">
                  <c:v>21.194667109805486</c:v>
                </c:pt>
                <c:pt idx="19">
                  <c:v>18.498209115687438</c:v>
                </c:pt>
                <c:pt idx="20">
                  <c:v>16.022240849170853</c:v>
                </c:pt>
                <c:pt idx="21">
                  <c:v>13.956343562054181</c:v>
                </c:pt>
                <c:pt idx="22">
                  <c:v>12.231091185037782</c:v>
                </c:pt>
                <c:pt idx="23">
                  <c:v>10.764307624343871</c:v>
                </c:pt>
                <c:pt idx="24">
                  <c:v>9.4938209121235388</c:v>
                </c:pt>
                <c:pt idx="25">
                  <c:v>8.3753293774284892</c:v>
                </c:pt>
                <c:pt idx="26">
                  <c:v>7.3771302117235074</c:v>
                </c:pt>
                <c:pt idx="27">
                  <c:v>6.4760902076475881</c:v>
                </c:pt>
                <c:pt idx="28">
                  <c:v>0.38135026671655703</c:v>
                </c:pt>
                <c:pt idx="29">
                  <c:v>-3.3282732237674373</c:v>
                </c:pt>
                <c:pt idx="30">
                  <c:v>-6.0289858810443819</c:v>
                </c:pt>
                <c:pt idx="31">
                  <c:v>-8.1514676592890467</c:v>
                </c:pt>
                <c:pt idx="32">
                  <c:v>-9.8913311331769105</c:v>
                </c:pt>
                <c:pt idx="33">
                  <c:v>-11.358166000905142</c:v>
                </c:pt>
                <c:pt idx="34">
                  <c:v>-12.621173716932002</c:v>
                </c:pt>
                <c:pt idx="35">
                  <c:v>-13.727151546927111</c:v>
                </c:pt>
                <c:pt idx="36">
                  <c:v>-14.70913462295027</c:v>
                </c:pt>
              </c:numCache>
            </c:numRef>
          </c:yVal>
          <c:smooth val="1"/>
          <c:extLst>
            <c:ext xmlns:c16="http://schemas.microsoft.com/office/drawing/2014/chart" uri="{C3380CC4-5D6E-409C-BE32-E72D297353CC}">
              <c16:uniqueId val="{00000001-7150-4216-A348-731930391D88}"/>
            </c:ext>
          </c:extLst>
        </c:ser>
        <c:ser>
          <c:idx val="2"/>
          <c:order val="2"/>
          <c:tx>
            <c:v>Type II Inner Loop Closed Loop</c:v>
          </c:tx>
          <c:xVal>
            <c:numRef>
              <c:f>'tables and calculations'!$D$278:$D$314</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calculations'!$Q$278:$Q$314</c:f>
              <c:numCache>
                <c:formatCode>General</c:formatCode>
                <c:ptCount val="37"/>
                <c:pt idx="0">
                  <c:v>19.60738551218428</c:v>
                </c:pt>
                <c:pt idx="1">
                  <c:v>19.26573892701396</c:v>
                </c:pt>
                <c:pt idx="2">
                  <c:v>18.795487796107739</c:v>
                </c:pt>
                <c:pt idx="3">
                  <c:v>18.283436768743073</c:v>
                </c:pt>
                <c:pt idx="4">
                  <c:v>17.789049537681979</c:v>
                </c:pt>
                <c:pt idx="5">
                  <c:v>17.342717858238306</c:v>
                </c:pt>
                <c:pt idx="6">
                  <c:v>16.954733912638858</c:v>
                </c:pt>
                <c:pt idx="7">
                  <c:v>16.624357908914899</c:v>
                </c:pt>
                <c:pt idx="8">
                  <c:v>16.345899772643833</c:v>
                </c:pt>
                <c:pt idx="9">
                  <c:v>16.112100826288248</c:v>
                </c:pt>
                <c:pt idx="10">
                  <c:v>15.056952407095348</c:v>
                </c:pt>
                <c:pt idx="11">
                  <c:v>14.775822974448253</c:v>
                </c:pt>
                <c:pt idx="12">
                  <c:v>14.657888807152977</c:v>
                </c:pt>
                <c:pt idx="13">
                  <c:v>14.585989905971521</c:v>
                </c:pt>
                <c:pt idx="14">
                  <c:v>14.525073676734221</c:v>
                </c:pt>
                <c:pt idx="15">
                  <c:v>14.459968629025795</c:v>
                </c:pt>
                <c:pt idx="16">
                  <c:v>14.381698684820734</c:v>
                </c:pt>
                <c:pt idx="17">
                  <c:v>14.28364707374725</c:v>
                </c:pt>
                <c:pt idx="18">
                  <c:v>14.160385125251862</c:v>
                </c:pt>
                <c:pt idx="19">
                  <c:v>11.090915256462601</c:v>
                </c:pt>
                <c:pt idx="20">
                  <c:v>6.2775140211580291</c:v>
                </c:pt>
                <c:pt idx="21">
                  <c:v>1.9592756299509508</c:v>
                </c:pt>
                <c:pt idx="22">
                  <c:v>-1.5616611159211398</c:v>
                </c:pt>
                <c:pt idx="23">
                  <c:v>-4.446543774520471</c:v>
                </c:pt>
                <c:pt idx="24">
                  <c:v>-6.8542149596268374</c:v>
                </c:pt>
                <c:pt idx="25">
                  <c:v>-8.8993468067366024</c:v>
                </c:pt>
                <c:pt idx="26">
                  <c:v>-10.662804338734313</c:v>
                </c:pt>
                <c:pt idx="27">
                  <c:v>-12.202774651521215</c:v>
                </c:pt>
                <c:pt idx="28">
                  <c:v>-21.300761007058327</c:v>
                </c:pt>
                <c:pt idx="29">
                  <c:v>-25.881945192439741</c:v>
                </c:pt>
                <c:pt idx="30">
                  <c:v>-28.933284245572274</c:v>
                </c:pt>
                <c:pt idx="31">
                  <c:v>-31.228084447911364</c:v>
                </c:pt>
                <c:pt idx="32">
                  <c:v>-33.064529694100962</c:v>
                </c:pt>
                <c:pt idx="33">
                  <c:v>-34.590687570045318</c:v>
                </c:pt>
                <c:pt idx="34">
                  <c:v>-35.892658688028526</c:v>
                </c:pt>
                <c:pt idx="35">
                  <c:v>-37.025567349479346</c:v>
                </c:pt>
                <c:pt idx="36">
                  <c:v>-38.026925812009715</c:v>
                </c:pt>
              </c:numCache>
            </c:numRef>
          </c:yVal>
          <c:smooth val="1"/>
          <c:extLst>
            <c:ext xmlns:c16="http://schemas.microsoft.com/office/drawing/2014/chart" uri="{C3380CC4-5D6E-409C-BE32-E72D297353CC}">
              <c16:uniqueId val="{00000002-7150-4216-A348-731930391D88}"/>
            </c:ext>
          </c:extLst>
        </c:ser>
        <c:dLbls>
          <c:showLegendKey val="0"/>
          <c:showVal val="0"/>
          <c:showCatName val="0"/>
          <c:showSerName val="0"/>
          <c:showPercent val="0"/>
          <c:showBubbleSize val="0"/>
        </c:dLbls>
        <c:axId val="123636544"/>
        <c:axId val="123637120"/>
      </c:scatterChart>
      <c:valAx>
        <c:axId val="12363654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23637120"/>
        <c:crossesAt val="-1000"/>
        <c:crossBetween val="midCat"/>
      </c:valAx>
      <c:valAx>
        <c:axId val="12363712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23636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calculations'!$D$278:$D$1367</c:f>
              <c:numCache>
                <c:formatCode>0.00E+00</c:formatCode>
                <c:ptCount val="1090"/>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calculations'!$I$278:$I$1367</c:f>
              <c:numCache>
                <c:formatCode>General</c:formatCode>
                <c:ptCount val="1090"/>
                <c:pt idx="0">
                  <c:v>-0.46075522375860722</c:v>
                </c:pt>
                <c:pt idx="1">
                  <c:v>-0.9214333262623392</c:v>
                </c:pt>
                <c:pt idx="2">
                  <c:v>-1.3819572573682306</c:v>
                </c:pt>
                <c:pt idx="3">
                  <c:v>-1.8422501089933123</c:v>
                </c:pt>
                <c:pt idx="4">
                  <c:v>-2.3022351857360346</c:v>
                </c:pt>
                <c:pt idx="5">
                  <c:v>-2.7618360750090512</c:v>
                </c:pt>
                <c:pt idx="6">
                  <c:v>-3.2209767165241132</c:v>
                </c:pt>
                <c:pt idx="7">
                  <c:v>-3.6795814709720793</c:v>
                </c:pt>
                <c:pt idx="8">
                  <c:v>-4.1375751877447984</c:v>
                </c:pt>
                <c:pt idx="9">
                  <c:v>-4.5948832715494587</c:v>
                </c:pt>
                <c:pt idx="10">
                  <c:v>-9.1143666195059225</c:v>
                </c:pt>
                <c:pt idx="11">
                  <c:v>-13.489652306648845</c:v>
                </c:pt>
                <c:pt idx="12">
                  <c:v>-17.66376606071395</c:v>
                </c:pt>
                <c:pt idx="13">
                  <c:v>-21.594526209782551</c:v>
                </c:pt>
                <c:pt idx="14">
                  <c:v>-25.255125642663771</c:v>
                </c:pt>
                <c:pt idx="15">
                  <c:v>-28.632802480242013</c:v>
                </c:pt>
                <c:pt idx="16">
                  <c:v>-31.726362360606963</c:v>
                </c:pt>
                <c:pt idx="17">
                  <c:v>-34.543290832059697</c:v>
                </c:pt>
                <c:pt idx="18">
                  <c:v>-37.09699254015537</c:v>
                </c:pt>
                <c:pt idx="19">
                  <c:v>-52.062288635475625</c:v>
                </c:pt>
                <c:pt idx="20">
                  <c:v>-56.928381591322349</c:v>
                </c:pt>
                <c:pt idx="21">
                  <c:v>-57.934516819679871</c:v>
                </c:pt>
                <c:pt idx="22">
                  <c:v>-57.251581633277652</c:v>
                </c:pt>
                <c:pt idx="23">
                  <c:v>-55.759611558569688</c:v>
                </c:pt>
                <c:pt idx="24">
                  <c:v>-53.87352156252237</c:v>
                </c:pt>
                <c:pt idx="25">
                  <c:v>-51.810958968347514</c:v>
                </c:pt>
                <c:pt idx="26">
                  <c:v>-49.694081551934545</c:v>
                </c:pt>
                <c:pt idx="27">
                  <c:v>-47.593924867456735</c:v>
                </c:pt>
                <c:pt idx="28">
                  <c:v>-31.371184340203133</c:v>
                </c:pt>
                <c:pt idx="29">
                  <c:v>-22.549183652149051</c:v>
                </c:pt>
                <c:pt idx="30">
                  <c:v>-17.420675739528541</c:v>
                </c:pt>
                <c:pt idx="31">
                  <c:v>-14.139004579612733</c:v>
                </c:pt>
                <c:pt idx="32">
                  <c:v>-11.877594726678526</c:v>
                </c:pt>
                <c:pt idx="33">
                  <c:v>-10.230999705656307</c:v>
                </c:pt>
                <c:pt idx="34">
                  <c:v>-8.9810209800720031</c:v>
                </c:pt>
                <c:pt idx="35">
                  <c:v>-8.0008984614638621</c:v>
                </c:pt>
                <c:pt idx="36">
                  <c:v>-7.2123197823470928</c:v>
                </c:pt>
              </c:numCache>
            </c:numRef>
          </c:yVal>
          <c:smooth val="1"/>
          <c:extLst>
            <c:ext xmlns:c16="http://schemas.microsoft.com/office/drawing/2014/chart" uri="{C3380CC4-5D6E-409C-BE32-E72D297353CC}">
              <c16:uniqueId val="{00000000-A308-4EBB-AFA5-EFB34168A29C}"/>
            </c:ext>
          </c:extLst>
        </c:ser>
        <c:ser>
          <c:idx val="1"/>
          <c:order val="1"/>
          <c:tx>
            <c:v>Type II Inner Loop Compensator</c:v>
          </c:tx>
          <c:xVal>
            <c:numRef>
              <c:f>'tables and calculations'!$D$278:$D$1367</c:f>
              <c:numCache>
                <c:formatCode>0.00E+00</c:formatCode>
                <c:ptCount val="1090"/>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calculations'!$N$278:$N$1367</c:f>
              <c:numCache>
                <c:formatCode>General</c:formatCode>
                <c:ptCount val="1090"/>
                <c:pt idx="0">
                  <c:v>-83.859769250303813</c:v>
                </c:pt>
                <c:pt idx="1">
                  <c:v>-77.882817410174468</c:v>
                </c:pt>
                <c:pt idx="2">
                  <c:v>-72.209078349831941</c:v>
                </c:pt>
                <c:pt idx="3">
                  <c:v>-66.939557051319227</c:v>
                </c:pt>
                <c:pt idx="4">
                  <c:v>-62.131856161750058</c:v>
                </c:pt>
                <c:pt idx="5">
                  <c:v>-57.804989084059009</c:v>
                </c:pt>
                <c:pt idx="6">
                  <c:v>-53.949040310638388</c:v>
                </c:pt>
                <c:pt idx="7">
                  <c:v>-50.535558130603995</c:v>
                </c:pt>
                <c:pt idx="8">
                  <c:v>-47.526272676551947</c:v>
                </c:pt>
                <c:pt idx="9">
                  <c:v>-44.879353294686148</c:v>
                </c:pt>
                <c:pt idx="10">
                  <c:v>-30.891652442066835</c:v>
                </c:pt>
                <c:pt idx="11">
                  <c:v>-27.041026270554131</c:v>
                </c:pt>
                <c:pt idx="12">
                  <c:v>-26.565146490998522</c:v>
                </c:pt>
                <c:pt idx="13">
                  <c:v>-27.500541758770606</c:v>
                </c:pt>
                <c:pt idx="14">
                  <c:v>-29.10413784077171</c:v>
                </c:pt>
                <c:pt idx="15">
                  <c:v>-31.035426785027227</c:v>
                </c:pt>
                <c:pt idx="16">
                  <c:v>-33.117086007393318</c:v>
                </c:pt>
                <c:pt idx="17">
                  <c:v>-35.248756546439907</c:v>
                </c:pt>
                <c:pt idx="18">
                  <c:v>-37.370750874866921</c:v>
                </c:pt>
                <c:pt idx="19">
                  <c:v>-54.429011280302269</c:v>
                </c:pt>
                <c:pt idx="20">
                  <c:v>-64.370908106213463</c:v>
                </c:pt>
                <c:pt idx="21">
                  <c:v>-70.414009620865826</c:v>
                </c:pt>
                <c:pt idx="22">
                  <c:v>-74.413202742705664</c:v>
                </c:pt>
                <c:pt idx="23">
                  <c:v>-77.25445014061529</c:v>
                </c:pt>
                <c:pt idx="24">
                  <c:v>-79.38699707691552</c:v>
                </c:pt>
                <c:pt idx="25">
                  <c:v>-81.057168569728816</c:v>
                </c:pt>
                <c:pt idx="26">
                  <c:v>-82.409664548354428</c:v>
                </c:pt>
                <c:pt idx="27">
                  <c:v>-83.534485689355151</c:v>
                </c:pt>
                <c:pt idx="28">
                  <c:v>-89.466051314416504</c:v>
                </c:pt>
                <c:pt idx="29">
                  <c:v>-92.022701308391092</c:v>
                </c:pt>
                <c:pt idx="30">
                  <c:v>-93.343446167541728</c:v>
                </c:pt>
                <c:pt idx="31">
                  <c:v>-93.993609247548079</c:v>
                </c:pt>
                <c:pt idx="32">
                  <c:v>-94.256703003188676</c:v>
                </c:pt>
                <c:pt idx="33">
                  <c:v>-94.299524487098978</c:v>
                </c:pt>
                <c:pt idx="34">
                  <c:v>-94.221369340182605</c:v>
                </c:pt>
                <c:pt idx="35">
                  <c:v>-94.080479759773922</c:v>
                </c:pt>
                <c:pt idx="36">
                  <c:v>-93.910474549974822</c:v>
                </c:pt>
              </c:numCache>
            </c:numRef>
          </c:yVal>
          <c:smooth val="1"/>
          <c:extLst>
            <c:ext xmlns:c16="http://schemas.microsoft.com/office/drawing/2014/chart" uri="{C3380CC4-5D6E-409C-BE32-E72D297353CC}">
              <c16:uniqueId val="{00000001-A308-4EBB-AFA5-EFB34168A29C}"/>
            </c:ext>
          </c:extLst>
        </c:ser>
        <c:ser>
          <c:idx val="2"/>
          <c:order val="2"/>
          <c:tx>
            <c:v>Type II Inner Loop Closed Loop</c:v>
          </c:tx>
          <c:xVal>
            <c:numRef>
              <c:f>'tables and calculations'!$D$278:$D$314</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calculations'!$R$278:$R$314</c:f>
              <c:numCache>
                <c:formatCode>General</c:formatCode>
                <c:ptCount val="37"/>
                <c:pt idx="0">
                  <c:v>-5.5931031071171873</c:v>
                </c:pt>
                <c:pt idx="1">
                  <c:v>-10.446965057707136</c:v>
                </c:pt>
                <c:pt idx="2">
                  <c:v>-14.157574019859528</c:v>
                </c:pt>
                <c:pt idx="3">
                  <c:v>-16.703903296043492</c:v>
                </c:pt>
                <c:pt idx="4">
                  <c:v>-18.28674877089049</c:v>
                </c:pt>
                <c:pt idx="5">
                  <c:v>-19.164464690648458</c:v>
                </c:pt>
                <c:pt idx="6">
                  <c:v>-19.566272191484945</c:v>
                </c:pt>
                <c:pt idx="7">
                  <c:v>-19.666550720923951</c:v>
                </c:pt>
                <c:pt idx="8">
                  <c:v>-19.587695001907353</c:v>
                </c:pt>
                <c:pt idx="9">
                  <c:v>-19.411589416961736</c:v>
                </c:pt>
                <c:pt idx="10">
                  <c:v>-17.968575221729047</c:v>
                </c:pt>
                <c:pt idx="11">
                  <c:v>-18.986976424448216</c:v>
                </c:pt>
                <c:pt idx="12">
                  <c:v>-21.347009946638089</c:v>
                </c:pt>
                <c:pt idx="13">
                  <c:v>-24.396626231662605</c:v>
                </c:pt>
                <c:pt idx="14">
                  <c:v>-27.86208277783027</c:v>
                </c:pt>
                <c:pt idx="15">
                  <c:v>-31.614443418795549</c:v>
                </c:pt>
                <c:pt idx="16">
                  <c:v>-35.583047877723764</c:v>
                </c:pt>
                <c:pt idx="17">
                  <c:v>-39.721188073964598</c:v>
                </c:pt>
                <c:pt idx="18">
                  <c:v>-43.9909864036022</c:v>
                </c:pt>
                <c:pt idx="19">
                  <c:v>-85.728808007120961</c:v>
                </c:pt>
                <c:pt idx="20">
                  <c:v>-110.84211678041532</c:v>
                </c:pt>
                <c:pt idx="21">
                  <c:v>-122.53291582192084</c:v>
                </c:pt>
                <c:pt idx="22">
                  <c:v>-127.97504729156775</c:v>
                </c:pt>
                <c:pt idx="23">
                  <c:v>-130.42418466956039</c:v>
                </c:pt>
                <c:pt idx="24">
                  <c:v>-131.30581241025973</c:v>
                </c:pt>
                <c:pt idx="25">
                  <c:v>-131.31368827721559</c:v>
                </c:pt>
                <c:pt idx="26">
                  <c:v>-130.81937464338154</c:v>
                </c:pt>
                <c:pt idx="27">
                  <c:v>-130.03634229599396</c:v>
                </c:pt>
                <c:pt idx="28">
                  <c:v>-120.40051769487532</c:v>
                </c:pt>
                <c:pt idx="29">
                  <c:v>-114.29891871468767</c:v>
                </c:pt>
                <c:pt idx="30">
                  <c:v>-110.56660654875775</c:v>
                </c:pt>
                <c:pt idx="31">
                  <c:v>-107.97847746105393</c:v>
                </c:pt>
                <c:pt idx="32">
                  <c:v>-106.00818680821021</c:v>
                </c:pt>
                <c:pt idx="33">
                  <c:v>-104.42391910183613</c:v>
                </c:pt>
                <c:pt idx="34">
                  <c:v>-103.11009821745151</c:v>
                </c:pt>
                <c:pt idx="35">
                  <c:v>-102.00001558993479</c:v>
                </c:pt>
                <c:pt idx="36">
                  <c:v>-101.05004168043604</c:v>
                </c:pt>
              </c:numCache>
            </c:numRef>
          </c:yVal>
          <c:smooth val="1"/>
          <c:extLst>
            <c:ext xmlns:c16="http://schemas.microsoft.com/office/drawing/2014/chart" uri="{C3380CC4-5D6E-409C-BE32-E72D297353CC}">
              <c16:uniqueId val="{00000002-A308-4EBB-AFA5-EFB34168A29C}"/>
            </c:ext>
          </c:extLst>
        </c:ser>
        <c:dLbls>
          <c:showLegendKey val="0"/>
          <c:showVal val="0"/>
          <c:showCatName val="0"/>
          <c:showSerName val="0"/>
          <c:showPercent val="0"/>
          <c:showBubbleSize val="0"/>
        </c:dLbls>
        <c:axId val="123639424"/>
        <c:axId val="123640000"/>
      </c:scatterChart>
      <c:valAx>
        <c:axId val="1236394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23640000"/>
        <c:crossesAt val="-360"/>
        <c:crossBetween val="midCat"/>
      </c:valAx>
      <c:valAx>
        <c:axId val="123640000"/>
        <c:scaling>
          <c:orientation val="minMax"/>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236394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49868</xdr:colOff>
      <xdr:row>56</xdr:row>
      <xdr:rowOff>104974</xdr:rowOff>
    </xdr:from>
    <xdr:to>
      <xdr:col>4</xdr:col>
      <xdr:colOff>7375071</xdr:colOff>
      <xdr:row>88</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61</xdr:row>
      <xdr:rowOff>76199</xdr:rowOff>
    </xdr:from>
    <xdr:to>
      <xdr:col>3</xdr:col>
      <xdr:colOff>161925</xdr:colOff>
      <xdr:row>87</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201</xdr:row>
          <xdr:rowOff>9525</xdr:rowOff>
        </xdr:from>
        <xdr:to>
          <xdr:col>4</xdr:col>
          <xdr:colOff>2324100</xdr:colOff>
          <xdr:row>201</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578427</xdr:colOff>
      <xdr:row>140</xdr:row>
      <xdr:rowOff>5194</xdr:rowOff>
    </xdr:from>
    <xdr:to>
      <xdr:col>10</xdr:col>
      <xdr:colOff>923926</xdr:colOff>
      <xdr:row>166</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115660</xdr:rowOff>
    </xdr:from>
    <xdr:to>
      <xdr:col>4</xdr:col>
      <xdr:colOff>730250</xdr:colOff>
      <xdr:row>64</xdr:row>
      <xdr:rowOff>66448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718635</xdr:colOff>
      <xdr:row>36</xdr:row>
      <xdr:rowOff>120582</xdr:rowOff>
    </xdr:from>
    <xdr:to>
      <xdr:col>13</xdr:col>
      <xdr:colOff>321236</xdr:colOff>
      <xdr:row>64</xdr:row>
      <xdr:rowOff>65048</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topLeftCell="A34" zoomScaleNormal="100" workbookViewId="0">
      <selection activeCell="Q21" sqref="Q21"/>
    </sheetView>
  </sheetViews>
  <sheetFormatPr defaultRowHeight="13.5" x14ac:dyDescent="0.15"/>
  <sheetData>
    <row r="35" spans="2:4" x14ac:dyDescent="0.15">
      <c r="B35" s="90" t="s">
        <v>196</v>
      </c>
      <c r="C35" s="90" t="s">
        <v>197</v>
      </c>
      <c r="D35" s="90" t="s">
        <v>198</v>
      </c>
    </row>
    <row r="36" spans="2:4" ht="16.5" x14ac:dyDescent="0.25">
      <c r="B36" s="55" t="s">
        <v>194</v>
      </c>
      <c r="C36" s="55">
        <f>'DESIGN INPUTS AND CALCULATIONS'!C153</f>
        <v>14.97</v>
      </c>
      <c r="D36" s="56" t="s">
        <v>150</v>
      </c>
    </row>
    <row r="37" spans="2:4" ht="16.5" x14ac:dyDescent="0.25">
      <c r="B37" s="55" t="s">
        <v>195</v>
      </c>
      <c r="C37" s="55">
        <f>'DESIGN INPUTS AND CALCULATIONS'!C151</f>
        <v>41.2</v>
      </c>
      <c r="D37" s="56" t="s">
        <v>151</v>
      </c>
    </row>
    <row r="38" spans="2:4" ht="18" x14ac:dyDescent="0.35">
      <c r="B38" s="59" t="s">
        <v>177</v>
      </c>
      <c r="C38" s="89">
        <f>'DESIGN INPUTS AND CALCULATIONS'!C188</f>
        <v>18</v>
      </c>
      <c r="D38" s="59" t="s">
        <v>183</v>
      </c>
    </row>
    <row r="39" spans="2:4" ht="18" x14ac:dyDescent="0.35">
      <c r="B39" s="59" t="s">
        <v>176</v>
      </c>
      <c r="C39" s="55">
        <f>'DESIGN INPUTS AND CALCULATIONS'!C186</f>
        <v>3.3</v>
      </c>
      <c r="D39" s="59" t="s">
        <v>183</v>
      </c>
    </row>
    <row r="40" spans="2:4" ht="18" x14ac:dyDescent="0.35">
      <c r="B40" s="59" t="s">
        <v>178</v>
      </c>
      <c r="C40" s="55">
        <f>'DESIGN INPUTS AND CALCULATIONS'!C222</f>
        <v>150</v>
      </c>
      <c r="D40" s="59" t="s">
        <v>71</v>
      </c>
    </row>
    <row r="41" spans="2:4" ht="18" x14ac:dyDescent="0.35">
      <c r="B41" s="59" t="s">
        <v>179</v>
      </c>
      <c r="C41" s="55">
        <f>'DESIGN INPUTS AND CALCULATIONS'!C224</f>
        <v>220</v>
      </c>
      <c r="D41" s="59" t="s">
        <v>158</v>
      </c>
    </row>
    <row r="42" spans="2:4" ht="18" x14ac:dyDescent="0.35">
      <c r="B42" s="59" t="s">
        <v>192</v>
      </c>
      <c r="C42" s="55">
        <f>'DESIGN INPUTS AND CALCULATIONS'!C169</f>
        <v>150</v>
      </c>
      <c r="D42" s="59" t="s">
        <v>71</v>
      </c>
    </row>
    <row r="43" spans="2:4" ht="18" x14ac:dyDescent="0.35">
      <c r="B43" s="59" t="s">
        <v>193</v>
      </c>
      <c r="C43" s="55">
        <f>'DESIGN INPUTS AND CALCULATIONS'!C167</f>
        <v>15000</v>
      </c>
      <c r="D43" s="59" t="s">
        <v>71</v>
      </c>
    </row>
    <row r="44" spans="2:4" ht="15" x14ac:dyDescent="0.25">
      <c r="B44" s="59" t="s">
        <v>199</v>
      </c>
      <c r="C44" s="55">
        <f>Lr</f>
        <v>85</v>
      </c>
      <c r="D44" s="59" t="s">
        <v>74</v>
      </c>
    </row>
    <row r="45" spans="2:4" ht="15" x14ac:dyDescent="0.25">
      <c r="B45" s="59" t="s">
        <v>200</v>
      </c>
      <c r="C45" s="55">
        <f>Lm</f>
        <v>825</v>
      </c>
      <c r="D45" s="59" t="s">
        <v>74</v>
      </c>
    </row>
    <row r="46" spans="2:4" ht="15" x14ac:dyDescent="0.25">
      <c r="B46" s="59" t="s">
        <v>201</v>
      </c>
      <c r="C46" s="55">
        <f>Cr</f>
        <v>0.03</v>
      </c>
      <c r="D46" s="59" t="s">
        <v>202</v>
      </c>
    </row>
    <row r="47" spans="2:4" ht="18" x14ac:dyDescent="0.35">
      <c r="B47" s="59" t="s">
        <v>171</v>
      </c>
      <c r="C47" s="55" t="e">
        <f>'DESIGN INPUTS AND CALCULATIONS'!#REF!</f>
        <v>#REF!</v>
      </c>
      <c r="D47" s="59" t="s">
        <v>159</v>
      </c>
    </row>
    <row r="48" spans="2:4" ht="18" x14ac:dyDescent="0.35">
      <c r="B48" s="61" t="s">
        <v>190</v>
      </c>
      <c r="C48" s="89">
        <f>'DESIGN INPUTS AND CALCULATIONS'!C206</f>
        <v>750</v>
      </c>
      <c r="D48" s="59" t="s">
        <v>183</v>
      </c>
    </row>
    <row r="49" spans="2:4" ht="18" x14ac:dyDescent="0.35">
      <c r="B49" s="61" t="s">
        <v>191</v>
      </c>
      <c r="C49" s="89">
        <f>'DESIGN INPUTS AND CALCULATIONS'!C207</f>
        <v>10000</v>
      </c>
      <c r="D49" s="59" t="s">
        <v>183</v>
      </c>
    </row>
  </sheetData>
  <sheetProtection selectLockedCells="1"/>
  <phoneticPr fontId="39"/>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0"/>
  <sheetViews>
    <sheetView tabSelected="1" topLeftCell="A204" zoomScale="115" zoomScaleNormal="115" workbookViewId="0">
      <selection activeCell="C227" sqref="C227"/>
    </sheetView>
  </sheetViews>
  <sheetFormatPr defaultColWidth="9.125" defaultRowHeight="13.5" x14ac:dyDescent="0.15"/>
  <cols>
    <col min="1" max="1" width="84.5" style="11" customWidth="1"/>
    <col min="2" max="2" width="18.5" style="11" customWidth="1"/>
    <col min="3" max="3" width="25.875" style="11" bestFit="1" customWidth="1"/>
    <col min="4" max="4" width="7.5" style="11" customWidth="1"/>
    <col min="5" max="5" width="117.875" style="11" customWidth="1"/>
    <col min="6" max="6" width="12" style="11" bestFit="1" customWidth="1"/>
    <col min="7" max="16384" width="9.125" style="11"/>
  </cols>
  <sheetData>
    <row r="1" spans="1:4" ht="28.5" thickBot="1" x14ac:dyDescent="0.2">
      <c r="A1" s="182" t="s">
        <v>333</v>
      </c>
      <c r="B1" s="183"/>
      <c r="C1" s="183"/>
      <c r="D1" s="184"/>
    </row>
    <row r="2" spans="1:4" ht="14.25" thickBot="1" x14ac:dyDescent="0.2">
      <c r="A2" s="91" t="s">
        <v>335</v>
      </c>
      <c r="B2" s="185" t="s">
        <v>334</v>
      </c>
      <c r="C2" s="185"/>
      <c r="D2" s="186"/>
    </row>
    <row r="3" spans="1:4" ht="16.5" thickBot="1" x14ac:dyDescent="0.2">
      <c r="A3" s="187" t="s">
        <v>415</v>
      </c>
      <c r="B3" s="188"/>
      <c r="C3" s="188"/>
      <c r="D3" s="189"/>
    </row>
    <row r="4" spans="1:4" ht="15.75" x14ac:dyDescent="0.15">
      <c r="A4" s="1" t="s">
        <v>0</v>
      </c>
      <c r="B4" s="2" t="s">
        <v>1</v>
      </c>
      <c r="C4" s="190" t="s">
        <v>2</v>
      </c>
      <c r="D4" s="191"/>
    </row>
    <row r="5" spans="1:4" ht="15.75" x14ac:dyDescent="0.15">
      <c r="A5" s="192" t="s">
        <v>127</v>
      </c>
      <c r="B5" s="193"/>
      <c r="C5" s="193"/>
      <c r="D5" s="194"/>
    </row>
    <row r="6" spans="1:4" ht="18.75" x14ac:dyDescent="0.15">
      <c r="A6" s="195" t="s">
        <v>3</v>
      </c>
      <c r="B6" s="196"/>
      <c r="C6" s="196"/>
      <c r="D6" s="197"/>
    </row>
    <row r="7" spans="1:4" x14ac:dyDescent="0.15">
      <c r="A7" s="202" t="s">
        <v>386</v>
      </c>
      <c r="B7" s="203"/>
      <c r="C7" s="203"/>
      <c r="D7" s="204"/>
    </row>
    <row r="8" spans="1:4" x14ac:dyDescent="0.15">
      <c r="A8" s="202"/>
      <c r="B8" s="203"/>
      <c r="C8" s="203"/>
      <c r="D8" s="204"/>
    </row>
    <row r="9" spans="1:4" x14ac:dyDescent="0.15">
      <c r="A9" s="202"/>
      <c r="B9" s="203"/>
      <c r="C9" s="203"/>
      <c r="D9" s="204"/>
    </row>
    <row r="10" spans="1:4" x14ac:dyDescent="0.15">
      <c r="A10" s="202"/>
      <c r="B10" s="203"/>
      <c r="C10" s="203"/>
      <c r="D10" s="204"/>
    </row>
    <row r="11" spans="1:4" ht="14.25" thickBot="1" x14ac:dyDescent="0.2">
      <c r="A11" s="202"/>
      <c r="B11" s="203"/>
      <c r="C11" s="203"/>
      <c r="D11" s="204"/>
    </row>
    <row r="12" spans="1:4" x14ac:dyDescent="0.15">
      <c r="A12" s="205" t="s">
        <v>4</v>
      </c>
      <c r="B12" s="206"/>
      <c r="C12" s="206"/>
      <c r="D12" s="207"/>
    </row>
    <row r="13" spans="1:4" x14ac:dyDescent="0.15">
      <c r="A13" s="208"/>
      <c r="B13" s="209"/>
      <c r="C13" s="209"/>
      <c r="D13" s="210"/>
    </row>
    <row r="14" spans="1:4" x14ac:dyDescent="0.15">
      <c r="A14" s="208"/>
      <c r="B14" s="209"/>
      <c r="C14" s="209"/>
      <c r="D14" s="210"/>
    </row>
    <row r="15" spans="1:4" x14ac:dyDescent="0.15">
      <c r="A15" s="208"/>
      <c r="B15" s="209"/>
      <c r="C15" s="209"/>
      <c r="D15" s="210"/>
    </row>
    <row r="16" spans="1:4" ht="14.25" thickBot="1" x14ac:dyDescent="0.2">
      <c r="A16" s="211"/>
      <c r="B16" s="212"/>
      <c r="C16" s="212"/>
      <c r="D16" s="213"/>
    </row>
    <row r="17" spans="1:5" x14ac:dyDescent="0.15">
      <c r="A17" s="220" t="s">
        <v>6</v>
      </c>
      <c r="B17" s="221"/>
      <c r="C17" s="221"/>
      <c r="D17" s="222"/>
    </row>
    <row r="18" spans="1:5" x14ac:dyDescent="0.15">
      <c r="A18" s="214" t="s">
        <v>5</v>
      </c>
      <c r="B18" s="215"/>
      <c r="C18" s="215"/>
      <c r="D18" s="216"/>
    </row>
    <row r="19" spans="1:5" x14ac:dyDescent="0.15">
      <c r="A19" s="214"/>
      <c r="B19" s="215"/>
      <c r="C19" s="215"/>
      <c r="D19" s="216"/>
    </row>
    <row r="20" spans="1:5" ht="14.25" thickBot="1" x14ac:dyDescent="0.2">
      <c r="A20" s="217"/>
      <c r="B20" s="218"/>
      <c r="C20" s="218"/>
      <c r="D20" s="219"/>
    </row>
    <row r="21" spans="1:5" x14ac:dyDescent="0.15">
      <c r="A21" s="3"/>
      <c r="B21" s="3"/>
      <c r="C21" s="3"/>
      <c r="D21" s="3"/>
    </row>
    <row r="22" spans="1:5" ht="15.75" x14ac:dyDescent="0.15">
      <c r="A22" s="108" t="s">
        <v>326</v>
      </c>
      <c r="B22" s="109"/>
      <c r="C22" s="115" t="s">
        <v>394</v>
      </c>
      <c r="D22" s="109"/>
      <c r="E22" s="109" t="s">
        <v>340</v>
      </c>
    </row>
    <row r="23" spans="1:5" ht="14.25" thickBot="1" x14ac:dyDescent="0.2">
      <c r="A23" s="198"/>
      <c r="B23" s="198"/>
      <c r="C23" s="198"/>
      <c r="D23" s="198"/>
    </row>
    <row r="24" spans="1:5" ht="15.75" x14ac:dyDescent="0.15">
      <c r="A24" s="199" t="s">
        <v>216</v>
      </c>
      <c r="B24" s="200"/>
      <c r="C24" s="200"/>
      <c r="D24" s="201"/>
      <c r="E24" s="142"/>
    </row>
    <row r="25" spans="1:5" ht="16.5" x14ac:dyDescent="0.15">
      <c r="A25" s="22" t="s">
        <v>212</v>
      </c>
      <c r="B25" s="28" t="s">
        <v>15</v>
      </c>
      <c r="C25" s="31">
        <v>5</v>
      </c>
      <c r="D25" s="27" t="s">
        <v>7</v>
      </c>
      <c r="E25" s="27" t="s">
        <v>112</v>
      </c>
    </row>
    <row r="26" spans="1:5" ht="16.5" x14ac:dyDescent="0.15">
      <c r="A26" s="22" t="s">
        <v>213</v>
      </c>
      <c r="B26" s="28" t="s">
        <v>19</v>
      </c>
      <c r="C26" s="31">
        <v>102</v>
      </c>
      <c r="D26" s="27" t="s">
        <v>8</v>
      </c>
      <c r="E26" s="27" t="s">
        <v>113</v>
      </c>
    </row>
    <row r="27" spans="1:5" ht="16.5" x14ac:dyDescent="0.15">
      <c r="A27" s="22" t="s">
        <v>214</v>
      </c>
      <c r="B27" s="28" t="s">
        <v>16</v>
      </c>
      <c r="C27" s="28">
        <f>Pout/Vout</f>
        <v>20.399999999999999</v>
      </c>
      <c r="D27" s="27" t="s">
        <v>10</v>
      </c>
      <c r="E27" s="27"/>
    </row>
    <row r="28" spans="1:5" ht="16.5" x14ac:dyDescent="0.15">
      <c r="A28" s="22" t="s">
        <v>215</v>
      </c>
      <c r="B28" s="28" t="s">
        <v>17</v>
      </c>
      <c r="C28" s="31">
        <v>50</v>
      </c>
      <c r="D28" s="27" t="s">
        <v>18</v>
      </c>
      <c r="E28" s="27" t="s">
        <v>114</v>
      </c>
    </row>
    <row r="29" spans="1:5" ht="14.25" thickBot="1" x14ac:dyDescent="0.2">
      <c r="A29" s="29" t="s">
        <v>327</v>
      </c>
      <c r="B29" s="32" t="s">
        <v>9</v>
      </c>
      <c r="C29" s="101">
        <v>0.92</v>
      </c>
      <c r="D29" s="30"/>
      <c r="E29" s="146" t="s">
        <v>130</v>
      </c>
    </row>
    <row r="30" spans="1:5" ht="14.25" thickBot="1" x14ac:dyDescent="0.2">
      <c r="A30" s="180"/>
      <c r="B30" s="181"/>
      <c r="C30" s="181"/>
      <c r="D30" s="181"/>
      <c r="E30" s="12"/>
    </row>
    <row r="31" spans="1:5" ht="15.75" customHeight="1" x14ac:dyDescent="0.15">
      <c r="A31" s="235" t="s">
        <v>217</v>
      </c>
      <c r="B31" s="236"/>
      <c r="C31" s="236"/>
      <c r="D31" s="237"/>
      <c r="E31" s="142"/>
    </row>
    <row r="32" spans="1:5" ht="16.5" x14ac:dyDescent="0.15">
      <c r="A32" s="33" t="s">
        <v>218</v>
      </c>
      <c r="B32" s="5" t="s">
        <v>131</v>
      </c>
      <c r="C32" s="93">
        <v>390</v>
      </c>
      <c r="D32" s="35" t="s">
        <v>7</v>
      </c>
      <c r="E32" s="27" t="s">
        <v>181</v>
      </c>
    </row>
    <row r="33" spans="1:5" ht="16.5" x14ac:dyDescent="0.15">
      <c r="A33" s="22" t="s">
        <v>219</v>
      </c>
      <c r="B33" s="28" t="s">
        <v>125</v>
      </c>
      <c r="C33" s="31">
        <v>9</v>
      </c>
      <c r="D33" s="27" t="s">
        <v>12</v>
      </c>
      <c r="E33" s="27" t="s">
        <v>180</v>
      </c>
    </row>
    <row r="34" spans="1:5" ht="16.5" x14ac:dyDescent="0.15">
      <c r="A34" s="22" t="s">
        <v>220</v>
      </c>
      <c r="B34" s="28" t="s">
        <v>13</v>
      </c>
      <c r="C34" s="92">
        <v>420</v>
      </c>
      <c r="D34" s="27" t="s">
        <v>7</v>
      </c>
      <c r="E34" s="27" t="s">
        <v>203</v>
      </c>
    </row>
    <row r="35" spans="1:5" ht="17.25" thickBot="1" x14ac:dyDescent="0.2">
      <c r="A35" s="22" t="s">
        <v>221</v>
      </c>
      <c r="B35" s="28" t="s">
        <v>14</v>
      </c>
      <c r="C35" s="92">
        <v>256</v>
      </c>
      <c r="D35" s="27" t="s">
        <v>7</v>
      </c>
      <c r="E35" s="146" t="s">
        <v>204</v>
      </c>
    </row>
    <row r="36" spans="1:5" ht="14.25" thickBot="1" x14ac:dyDescent="0.2">
      <c r="E36" s="12"/>
    </row>
    <row r="37" spans="1:5" ht="16.5" thickBot="1" x14ac:dyDescent="0.2">
      <c r="A37" s="247" t="s">
        <v>222</v>
      </c>
      <c r="B37" s="248"/>
      <c r="C37" s="248"/>
      <c r="D37" s="249"/>
      <c r="E37" s="148"/>
    </row>
    <row r="38" spans="1:5" ht="18" customHeight="1" thickBot="1" x14ac:dyDescent="0.2">
      <c r="A38" s="36" t="s">
        <v>223</v>
      </c>
      <c r="B38" s="37" t="s">
        <v>20</v>
      </c>
      <c r="C38" s="38">
        <v>100</v>
      </c>
      <c r="D38" s="39" t="s">
        <v>11</v>
      </c>
      <c r="E38" s="147" t="s">
        <v>182</v>
      </c>
    </row>
    <row r="39" spans="1:5" x14ac:dyDescent="0.15">
      <c r="A39" s="177" t="s">
        <v>94</v>
      </c>
      <c r="B39" s="178"/>
      <c r="C39" s="178"/>
      <c r="D39" s="179"/>
      <c r="E39" s="143"/>
    </row>
    <row r="40" spans="1:5" ht="16.5" x14ac:dyDescent="0.15">
      <c r="A40" s="105" t="s">
        <v>316</v>
      </c>
      <c r="B40" s="28" t="s">
        <v>317</v>
      </c>
      <c r="C40" s="107">
        <f>Vblk/2/Vout</f>
        <v>39</v>
      </c>
      <c r="D40" s="106"/>
      <c r="E40" s="27"/>
    </row>
    <row r="41" spans="1:5" ht="18" customHeight="1" x14ac:dyDescent="0.15">
      <c r="A41" s="22" t="s">
        <v>318</v>
      </c>
      <c r="B41" s="28" t="s">
        <v>21</v>
      </c>
      <c r="C41" s="116">
        <v>39</v>
      </c>
      <c r="D41" s="41"/>
      <c r="E41" s="27" t="s">
        <v>319</v>
      </c>
    </row>
    <row r="42" spans="1:5" ht="18" customHeight="1" x14ac:dyDescent="0.15">
      <c r="A42" s="105" t="s">
        <v>320</v>
      </c>
      <c r="B42" s="28" t="s">
        <v>324</v>
      </c>
      <c r="C42" s="94">
        <f>Vblk/2/15</f>
        <v>13</v>
      </c>
      <c r="D42" s="41"/>
      <c r="E42" s="27"/>
    </row>
    <row r="43" spans="1:5" ht="18" customHeight="1" x14ac:dyDescent="0.15">
      <c r="A43" s="22" t="s">
        <v>321</v>
      </c>
      <c r="B43" s="28" t="s">
        <v>323</v>
      </c>
      <c r="C43" s="116">
        <v>12.666</v>
      </c>
      <c r="D43" s="41"/>
      <c r="E43" s="27" t="s">
        <v>322</v>
      </c>
    </row>
    <row r="44" spans="1:5" ht="18" customHeight="1" x14ac:dyDescent="0.15">
      <c r="A44" s="22" t="s">
        <v>224</v>
      </c>
      <c r="B44" s="28" t="s">
        <v>22</v>
      </c>
      <c r="C44" s="87">
        <f>(8*Nps^2*Vout)/(PI()^2*Iout*1.1)</f>
        <v>274.70502730837035</v>
      </c>
      <c r="D44" s="13" t="s">
        <v>23</v>
      </c>
      <c r="E44" s="27"/>
    </row>
    <row r="45" spans="1:5" ht="17.25" thickBot="1" x14ac:dyDescent="0.2">
      <c r="A45" s="29" t="s">
        <v>225</v>
      </c>
      <c r="B45" s="43" t="s">
        <v>82</v>
      </c>
      <c r="C45" s="104">
        <f>(8*Nps^2*Vout)/(PI()^2*Iout)</f>
        <v>302.17553003920739</v>
      </c>
      <c r="D45" s="14" t="s">
        <v>23</v>
      </c>
      <c r="E45" s="146"/>
    </row>
    <row r="46" spans="1:5" ht="14.25" thickBot="1" x14ac:dyDescent="0.2">
      <c r="A46" s="238" t="s">
        <v>226</v>
      </c>
      <c r="B46" s="239"/>
      <c r="C46" s="239"/>
      <c r="D46" s="240"/>
      <c r="E46" s="143"/>
    </row>
    <row r="47" spans="1:5" ht="16.5" x14ac:dyDescent="0.15">
      <c r="A47" s="33" t="s">
        <v>227</v>
      </c>
      <c r="B47" s="34" t="s">
        <v>24</v>
      </c>
      <c r="C47" s="133">
        <f>Nps*(Vout+0.5)/(Vblk_max/2)</f>
        <v>1.0214285714285714</v>
      </c>
      <c r="D47" s="35"/>
      <c r="E47" s="105"/>
    </row>
    <row r="48" spans="1:5" ht="18" customHeight="1" x14ac:dyDescent="0.15">
      <c r="A48" s="22" t="s">
        <v>228</v>
      </c>
      <c r="B48" s="28" t="s">
        <v>132</v>
      </c>
      <c r="C48" s="40">
        <f>1*Nps*(Vout+0.5+Vloss)/(Vblk_hu/2)</f>
        <v>1.7671874999999999</v>
      </c>
      <c r="D48" s="27"/>
      <c r="E48" s="105"/>
    </row>
    <row r="49" spans="1:5" ht="17.25" thickBot="1" x14ac:dyDescent="0.2">
      <c r="A49" s="45" t="s">
        <v>229</v>
      </c>
      <c r="B49" s="46" t="s">
        <v>25</v>
      </c>
      <c r="C49" s="95">
        <v>0.3</v>
      </c>
      <c r="D49" s="47" t="s">
        <v>7</v>
      </c>
      <c r="E49" s="105" t="s">
        <v>205</v>
      </c>
    </row>
    <row r="50" spans="1:5" ht="17.25" thickBot="1" x14ac:dyDescent="0.2">
      <c r="A50" s="241" t="s">
        <v>34</v>
      </c>
      <c r="B50" s="242"/>
      <c r="C50" s="242"/>
      <c r="D50" s="243"/>
      <c r="E50" s="143"/>
    </row>
    <row r="51" spans="1:5" ht="49.5" customHeight="1" thickBot="1" x14ac:dyDescent="0.2">
      <c r="A51" s="226" t="s">
        <v>133</v>
      </c>
      <c r="B51" s="227"/>
      <c r="C51" s="227"/>
      <c r="D51" s="228"/>
      <c r="E51" s="27"/>
    </row>
    <row r="52" spans="1:5" ht="15.75" customHeight="1" x14ac:dyDescent="0.15">
      <c r="A52" s="229" t="s">
        <v>134</v>
      </c>
      <c r="B52" s="230"/>
      <c r="C52" s="230"/>
      <c r="D52" s="231"/>
      <c r="E52" s="27"/>
    </row>
    <row r="53" spans="1:5" ht="15" customHeight="1" x14ac:dyDescent="0.15">
      <c r="A53" s="244"/>
      <c r="B53" s="245"/>
      <c r="C53" s="245"/>
      <c r="D53" s="246"/>
      <c r="E53" s="27"/>
    </row>
    <row r="54" spans="1:5" ht="15" customHeight="1" x14ac:dyDescent="0.15">
      <c r="A54" s="244"/>
      <c r="B54" s="245"/>
      <c r="C54" s="245"/>
      <c r="D54" s="246"/>
      <c r="E54" s="27"/>
    </row>
    <row r="55" spans="1:5" ht="15" customHeight="1" x14ac:dyDescent="0.15">
      <c r="A55" s="244"/>
      <c r="B55" s="245"/>
      <c r="C55" s="245"/>
      <c r="D55" s="246"/>
      <c r="E55" s="27"/>
    </row>
    <row r="56" spans="1:5" ht="15" customHeight="1" thickBot="1" x14ac:dyDescent="0.2">
      <c r="A56" s="22" t="s">
        <v>230</v>
      </c>
      <c r="B56" s="28" t="s">
        <v>80</v>
      </c>
      <c r="C56" s="155">
        <v>9.7100000000000009</v>
      </c>
      <c r="D56" s="27"/>
      <c r="E56" s="146"/>
    </row>
    <row r="57" spans="1:5" ht="16.5" x14ac:dyDescent="0.15">
      <c r="A57" s="22" t="s">
        <v>231</v>
      </c>
      <c r="B57" s="28" t="s">
        <v>81</v>
      </c>
      <c r="C57" s="155">
        <v>0.18</v>
      </c>
      <c r="D57" s="27"/>
      <c r="E57" s="151"/>
    </row>
    <row r="58" spans="1:5" ht="16.5" x14ac:dyDescent="0.15">
      <c r="A58" s="22" t="s">
        <v>232</v>
      </c>
      <c r="B58" s="28" t="s">
        <v>36</v>
      </c>
      <c r="C58" s="48">
        <f>Ln_selected/(Ln_selected+1)</f>
        <v>0.90662931839402428</v>
      </c>
      <c r="D58" s="27"/>
      <c r="E58" s="152"/>
    </row>
    <row r="59" spans="1:5" ht="17.25" thickBot="1" x14ac:dyDescent="0.2">
      <c r="A59" s="45" t="s">
        <v>233</v>
      </c>
      <c r="B59" s="46" t="s">
        <v>47</v>
      </c>
      <c r="C59" s="49">
        <f>350/fllc</f>
        <v>3.5</v>
      </c>
      <c r="D59" s="47"/>
      <c r="E59" s="152"/>
    </row>
    <row r="60" spans="1:5" ht="16.5" customHeight="1" x14ac:dyDescent="0.15">
      <c r="A60" s="229" t="s">
        <v>135</v>
      </c>
      <c r="B60" s="230"/>
      <c r="C60" s="230"/>
      <c r="D60" s="231"/>
      <c r="E60" s="152"/>
    </row>
    <row r="61" spans="1:5" ht="37.5" customHeight="1" thickBot="1" x14ac:dyDescent="0.2">
      <c r="A61" s="232"/>
      <c r="B61" s="233"/>
      <c r="C61" s="233"/>
      <c r="D61" s="234"/>
      <c r="E61" s="152"/>
    </row>
    <row r="62" spans="1:5" x14ac:dyDescent="0.15">
      <c r="A62" s="24"/>
      <c r="B62" s="23"/>
      <c r="C62" s="25"/>
      <c r="D62" s="26"/>
      <c r="E62" s="152"/>
    </row>
    <row r="63" spans="1:5" x14ac:dyDescent="0.15">
      <c r="A63" s="24"/>
      <c r="B63" s="23"/>
      <c r="C63" s="25"/>
      <c r="D63" s="26"/>
      <c r="E63" s="152"/>
    </row>
    <row r="64" spans="1:5" x14ac:dyDescent="0.15">
      <c r="A64" s="24"/>
      <c r="B64" s="23"/>
      <c r="C64" s="25"/>
      <c r="D64" s="26"/>
      <c r="E64" s="152"/>
    </row>
    <row r="65" spans="1:5" x14ac:dyDescent="0.15">
      <c r="A65" s="24"/>
      <c r="B65" s="23"/>
      <c r="C65" s="25"/>
      <c r="D65" s="26"/>
      <c r="E65" s="152"/>
    </row>
    <row r="66" spans="1:5" x14ac:dyDescent="0.15">
      <c r="A66" s="24"/>
      <c r="B66" s="23"/>
      <c r="C66" s="25"/>
      <c r="D66" s="26"/>
      <c r="E66" s="152"/>
    </row>
    <row r="67" spans="1:5" x14ac:dyDescent="0.15">
      <c r="A67" s="24"/>
      <c r="B67" s="23"/>
      <c r="C67" s="25"/>
      <c r="D67" s="26"/>
      <c r="E67" s="152"/>
    </row>
    <row r="68" spans="1:5" x14ac:dyDescent="0.15">
      <c r="A68" s="24"/>
      <c r="B68" s="23"/>
      <c r="C68" s="25"/>
      <c r="D68" s="26"/>
      <c r="E68" s="152"/>
    </row>
    <row r="69" spans="1:5" x14ac:dyDescent="0.15">
      <c r="A69" s="24"/>
      <c r="B69" s="23"/>
      <c r="C69" s="25"/>
      <c r="D69" s="26"/>
      <c r="E69" s="152"/>
    </row>
    <row r="70" spans="1:5" x14ac:dyDescent="0.15">
      <c r="A70" s="24"/>
      <c r="B70" s="23"/>
      <c r="C70" s="25"/>
      <c r="D70" s="26"/>
      <c r="E70" s="152"/>
    </row>
    <row r="71" spans="1:5" x14ac:dyDescent="0.15">
      <c r="A71" s="24"/>
      <c r="B71" s="23"/>
      <c r="C71" s="23"/>
      <c r="D71" s="26"/>
      <c r="E71" s="152"/>
    </row>
    <row r="72" spans="1:5" x14ac:dyDescent="0.15">
      <c r="A72" s="24"/>
      <c r="B72" s="23"/>
      <c r="C72" s="23"/>
      <c r="D72" s="26"/>
      <c r="E72" s="152"/>
    </row>
    <row r="73" spans="1:5" x14ac:dyDescent="0.15">
      <c r="A73" s="24"/>
      <c r="B73" s="23"/>
      <c r="C73" s="23"/>
      <c r="D73" s="26"/>
      <c r="E73" s="152"/>
    </row>
    <row r="74" spans="1:5" x14ac:dyDescent="0.15">
      <c r="A74" s="24"/>
      <c r="B74" s="23"/>
      <c r="C74" s="23"/>
      <c r="D74" s="26"/>
      <c r="E74" s="152"/>
    </row>
    <row r="75" spans="1:5" x14ac:dyDescent="0.15">
      <c r="A75" s="24"/>
      <c r="B75" s="23"/>
      <c r="C75" s="23"/>
      <c r="D75" s="26"/>
      <c r="E75" s="152"/>
    </row>
    <row r="76" spans="1:5" x14ac:dyDescent="0.15">
      <c r="A76" s="24"/>
      <c r="B76" s="23"/>
      <c r="C76" s="23"/>
      <c r="D76" s="26"/>
      <c r="E76" s="152"/>
    </row>
    <row r="77" spans="1:5" x14ac:dyDescent="0.15">
      <c r="A77" s="24"/>
      <c r="B77" s="23"/>
      <c r="C77" s="23"/>
      <c r="D77" s="26"/>
      <c r="E77" s="152"/>
    </row>
    <row r="78" spans="1:5" x14ac:dyDescent="0.15">
      <c r="A78" s="24"/>
      <c r="B78" s="23"/>
      <c r="C78" s="23"/>
      <c r="D78" s="26"/>
      <c r="E78" s="152"/>
    </row>
    <row r="79" spans="1:5" x14ac:dyDescent="0.15">
      <c r="A79" s="24"/>
      <c r="B79" s="23"/>
      <c r="C79" s="23"/>
      <c r="D79" s="26"/>
      <c r="E79" s="152"/>
    </row>
    <row r="80" spans="1:5" x14ac:dyDescent="0.15">
      <c r="A80" s="24"/>
      <c r="B80" s="23"/>
      <c r="C80" s="23"/>
      <c r="D80" s="26"/>
      <c r="E80" s="152"/>
    </row>
    <row r="81" spans="1:5" x14ac:dyDescent="0.15">
      <c r="A81" s="24"/>
      <c r="B81" s="23"/>
      <c r="C81" s="23"/>
      <c r="D81" s="26"/>
      <c r="E81" s="152"/>
    </row>
    <row r="82" spans="1:5" x14ac:dyDescent="0.15">
      <c r="A82" s="24"/>
      <c r="B82" s="23"/>
      <c r="C82" s="23"/>
      <c r="D82" s="26"/>
      <c r="E82" s="152"/>
    </row>
    <row r="83" spans="1:5" x14ac:dyDescent="0.15">
      <c r="A83" s="24"/>
      <c r="B83" s="23"/>
      <c r="C83" s="23"/>
      <c r="D83" s="26"/>
      <c r="E83" s="152"/>
    </row>
    <row r="84" spans="1:5" x14ac:dyDescent="0.15">
      <c r="A84" s="24"/>
      <c r="B84" s="23"/>
      <c r="C84" s="23"/>
      <c r="D84" s="26"/>
      <c r="E84" s="152"/>
    </row>
    <row r="85" spans="1:5" x14ac:dyDescent="0.15">
      <c r="A85" s="24"/>
      <c r="B85" s="23"/>
      <c r="C85" s="23"/>
      <c r="D85" s="26"/>
      <c r="E85" s="152"/>
    </row>
    <row r="86" spans="1:5" x14ac:dyDescent="0.15">
      <c r="A86" s="24"/>
      <c r="B86" s="23"/>
      <c r="C86" s="23"/>
      <c r="D86" s="26"/>
      <c r="E86" s="152"/>
    </row>
    <row r="87" spans="1:5" x14ac:dyDescent="0.15">
      <c r="A87" s="24"/>
      <c r="B87" s="23"/>
      <c r="C87" s="23"/>
      <c r="D87" s="26"/>
      <c r="E87" s="152"/>
    </row>
    <row r="88" spans="1:5" x14ac:dyDescent="0.15">
      <c r="A88" s="24"/>
      <c r="B88" s="23"/>
      <c r="C88" s="23"/>
      <c r="D88" s="26"/>
      <c r="E88" s="152"/>
    </row>
    <row r="89" spans="1:5" ht="14.25" thickBot="1" x14ac:dyDescent="0.2">
      <c r="A89" s="24"/>
      <c r="B89" s="23"/>
      <c r="C89" s="23"/>
      <c r="D89" s="26"/>
      <c r="E89" s="147"/>
    </row>
    <row r="90" spans="1:5" x14ac:dyDescent="0.15">
      <c r="A90" s="177" t="s">
        <v>48</v>
      </c>
      <c r="B90" s="178"/>
      <c r="C90" s="178"/>
      <c r="D90" s="179"/>
      <c r="E90" s="143"/>
    </row>
    <row r="91" spans="1:5" ht="16.5" x14ac:dyDescent="0.15">
      <c r="A91" s="22" t="s">
        <v>234</v>
      </c>
      <c r="B91" s="28" t="s">
        <v>76</v>
      </c>
      <c r="C91" s="52">
        <f>(1/(2*PI()*fllc*1000*Re_fl*Qe_selected))/10^-6</f>
        <v>2.9260944066966076E-2</v>
      </c>
      <c r="D91" s="27" t="s">
        <v>202</v>
      </c>
      <c r="E91" s="27"/>
    </row>
    <row r="92" spans="1:5" ht="16.5" x14ac:dyDescent="0.15">
      <c r="A92" s="22" t="s">
        <v>235</v>
      </c>
      <c r="B92" s="28" t="s">
        <v>73</v>
      </c>
      <c r="C92" s="31">
        <v>0.03</v>
      </c>
      <c r="D92" s="27" t="s">
        <v>202</v>
      </c>
      <c r="E92" s="27" t="s">
        <v>328</v>
      </c>
    </row>
    <row r="93" spans="1:5" ht="16.5" x14ac:dyDescent="0.15">
      <c r="A93" s="22" t="s">
        <v>236</v>
      </c>
      <c r="B93" s="28" t="s">
        <v>77</v>
      </c>
      <c r="C93" s="52">
        <f>IF($D92="uF",1/((2*PI()*fllc*kHz)^2*Cr*uF),1/((2*PI()*fllc*kHz)^2*Cr*picoF))*10^6</f>
        <v>84.434319701948141</v>
      </c>
      <c r="D93" s="27" t="s">
        <v>74</v>
      </c>
      <c r="E93" s="27"/>
    </row>
    <row r="94" spans="1:5" ht="16.5" x14ac:dyDescent="0.15">
      <c r="A94" s="22" t="s">
        <v>237</v>
      </c>
      <c r="B94" s="28" t="s">
        <v>75</v>
      </c>
      <c r="C94" s="31">
        <v>85</v>
      </c>
      <c r="D94" s="27" t="s">
        <v>74</v>
      </c>
      <c r="E94" s="27" t="s">
        <v>115</v>
      </c>
    </row>
    <row r="95" spans="1:5" ht="16.5" x14ac:dyDescent="0.15">
      <c r="A95" s="22" t="s">
        <v>238</v>
      </c>
      <c r="B95" s="28" t="s">
        <v>78</v>
      </c>
      <c r="C95" s="53">
        <f>Ln_selected*Lr</f>
        <v>825.35</v>
      </c>
      <c r="D95" s="27" t="s">
        <v>74</v>
      </c>
      <c r="E95" s="27"/>
    </row>
    <row r="96" spans="1:5" ht="16.5" x14ac:dyDescent="0.15">
      <c r="A96" s="22" t="s">
        <v>239</v>
      </c>
      <c r="B96" s="28" t="s">
        <v>79</v>
      </c>
      <c r="C96" s="31">
        <v>825</v>
      </c>
      <c r="D96" s="27" t="s">
        <v>74</v>
      </c>
      <c r="E96" s="27" t="s">
        <v>206</v>
      </c>
    </row>
    <row r="97" spans="1:8" ht="16.5" x14ac:dyDescent="0.15">
      <c r="A97" s="22" t="s">
        <v>240</v>
      </c>
      <c r="B97" s="28" t="s">
        <v>26</v>
      </c>
      <c r="C97" s="88">
        <f>IF($D91="uF",1/(2*PI()*SQRT(Lr*uH*Cr*uF)),1/(2*PI()*SQRT(Lr*uH*Cr*picoF)))/kHz</f>
        <v>99.666691410419475</v>
      </c>
      <c r="D97" s="27" t="s">
        <v>11</v>
      </c>
      <c r="E97" s="27"/>
    </row>
    <row r="98" spans="1:8" ht="16.5" x14ac:dyDescent="0.15">
      <c r="A98" s="22" t="s">
        <v>241</v>
      </c>
      <c r="B98" s="28" t="s">
        <v>27</v>
      </c>
      <c r="C98" s="88">
        <f>(1/(2*PI()*SQRT(((Lr*uH)+(Lm*uH))*(Cr*uF))))/kHz</f>
        <v>30.460624863163513</v>
      </c>
      <c r="D98" s="27" t="s">
        <v>11</v>
      </c>
      <c r="E98" s="27"/>
    </row>
    <row r="99" spans="1:8" ht="18" customHeight="1" x14ac:dyDescent="0.15">
      <c r="A99" s="22" t="s">
        <v>242</v>
      </c>
      <c r="B99" s="28" t="s">
        <v>33</v>
      </c>
      <c r="C99" s="102">
        <f>Lm/Lr</f>
        <v>9.7058823529411757</v>
      </c>
      <c r="D99" s="27"/>
      <c r="E99" s="27" t="s">
        <v>408</v>
      </c>
      <c r="F99" s="15"/>
      <c r="G99" s="15"/>
      <c r="H99" s="15"/>
    </row>
    <row r="100" spans="1:8" ht="16.5" x14ac:dyDescent="0.15">
      <c r="A100" s="22" t="s">
        <v>243</v>
      </c>
      <c r="B100" s="28" t="s">
        <v>35</v>
      </c>
      <c r="C100" s="103">
        <f>IF(D$91="uF",SQRT((Lr*uH)/(Cr*uF))/(Re_fl),SQRT((Lr*uH)/(Cr*picoF))/Re_fl)</f>
        <v>0.17615279680433163</v>
      </c>
      <c r="D100" s="41"/>
      <c r="E100" s="27" t="s">
        <v>409</v>
      </c>
      <c r="F100" s="15"/>
      <c r="G100" s="15"/>
      <c r="H100" s="15"/>
    </row>
    <row r="101" spans="1:8" ht="64.5" customHeight="1" x14ac:dyDescent="0.15">
      <c r="A101" s="22" t="s">
        <v>414</v>
      </c>
      <c r="B101" s="28"/>
      <c r="C101" s="156" t="str">
        <f>IF(AND(ROUND(C99,2)=C56,ROUND(C100,2)=C57),"Yes",IF(AND(ROUND(C99,2)&lt;&gt;C56,ROUND(C100,2)=C57),"CAUTION. Update Cell C56 with new Ln",IF(AND(ROUND(C99,2)=C56,ROUND(C100,2)&lt;&gt;C57),"CAUTION. Update Cell C57 with new Qe","CAUTION. Update Cells C56 and C57 with new Ln and Qe")))</f>
        <v>Yes</v>
      </c>
      <c r="D101" s="41"/>
      <c r="E101" s="27"/>
      <c r="F101" s="15"/>
      <c r="G101" s="15"/>
      <c r="H101" s="15"/>
    </row>
    <row r="102" spans="1:8" ht="16.5" x14ac:dyDescent="0.15">
      <c r="A102" s="22" t="s">
        <v>244</v>
      </c>
      <c r="B102" s="28" t="s">
        <v>85</v>
      </c>
      <c r="C102" s="31">
        <v>0.38</v>
      </c>
      <c r="D102" s="27"/>
      <c r="E102" s="27" t="s">
        <v>410</v>
      </c>
    </row>
    <row r="103" spans="1:8" ht="16.5" x14ac:dyDescent="0.15">
      <c r="A103" s="22" t="s">
        <v>245</v>
      </c>
      <c r="B103" s="28" t="s">
        <v>86</v>
      </c>
      <c r="C103" s="31">
        <v>0.9</v>
      </c>
      <c r="D103" s="27"/>
      <c r="E103" s="27" t="s">
        <v>411</v>
      </c>
    </row>
    <row r="104" spans="1:8" ht="16.5" x14ac:dyDescent="0.15">
      <c r="A104" s="22" t="s">
        <v>246</v>
      </c>
      <c r="B104" s="28" t="s">
        <v>87</v>
      </c>
      <c r="C104" s="87">
        <f>fn_Mgmin*f0</f>
        <v>89.700022269377527</v>
      </c>
      <c r="D104" s="27" t="s">
        <v>11</v>
      </c>
      <c r="E104" s="27"/>
    </row>
    <row r="105" spans="1:8" ht="17.25" thickBot="1" x14ac:dyDescent="0.2">
      <c r="A105" s="22" t="s">
        <v>247</v>
      </c>
      <c r="B105" s="28" t="s">
        <v>88</v>
      </c>
      <c r="C105" s="87">
        <f>fn_Mgmax*f0</f>
        <v>37.873342735959397</v>
      </c>
      <c r="D105" s="27" t="s">
        <v>11</v>
      </c>
      <c r="E105" s="146"/>
    </row>
    <row r="106" spans="1:8" x14ac:dyDescent="0.15">
      <c r="A106" s="250" t="s">
        <v>84</v>
      </c>
      <c r="B106" s="251"/>
      <c r="C106" s="251"/>
      <c r="D106" s="252"/>
      <c r="E106" s="143"/>
    </row>
    <row r="107" spans="1:8" ht="16.5" x14ac:dyDescent="0.15">
      <c r="A107" s="22" t="s">
        <v>248</v>
      </c>
      <c r="B107" s="28" t="s">
        <v>83</v>
      </c>
      <c r="C107" s="42">
        <f>PI()*Iout*1.1/(2*SQRT(2)*Nps)</f>
        <v>0.63909162264278019</v>
      </c>
      <c r="D107" s="27" t="s">
        <v>10</v>
      </c>
      <c r="E107" s="27"/>
    </row>
    <row r="108" spans="1:8" ht="16.5" x14ac:dyDescent="0.15">
      <c r="A108" s="22" t="s">
        <v>249</v>
      </c>
      <c r="B108" s="28" t="s">
        <v>89</v>
      </c>
      <c r="C108" s="42">
        <f>(2*SQRT(2)*Nps*Vout)/(PI()*2*PI()*fsw_min*kHz*Lm*uH)</f>
        <v>0.89425685347730277</v>
      </c>
      <c r="D108" s="27" t="s">
        <v>10</v>
      </c>
      <c r="E108" s="27"/>
    </row>
    <row r="109" spans="1:8" ht="17.25" thickBot="1" x14ac:dyDescent="0.2">
      <c r="A109" s="22" t="s">
        <v>250</v>
      </c>
      <c r="B109" s="28" t="s">
        <v>90</v>
      </c>
      <c r="C109" s="42">
        <f>SQRT(Im^2 +Ioe^2)</f>
        <v>1.0991512280497657</v>
      </c>
      <c r="D109" s="27" t="s">
        <v>10</v>
      </c>
      <c r="E109" s="146"/>
    </row>
    <row r="110" spans="1:8" x14ac:dyDescent="0.15">
      <c r="A110" s="250" t="s">
        <v>91</v>
      </c>
      <c r="B110" s="251"/>
      <c r="C110" s="251"/>
      <c r="D110" s="252"/>
      <c r="E110" s="143"/>
    </row>
    <row r="111" spans="1:8" ht="16.5" x14ac:dyDescent="0.15">
      <c r="A111" s="22" t="s">
        <v>251</v>
      </c>
      <c r="B111" s="28" t="s">
        <v>92</v>
      </c>
      <c r="C111" s="42">
        <f>Nps*Ioe</f>
        <v>24.924573283068426</v>
      </c>
      <c r="D111" s="27" t="s">
        <v>10</v>
      </c>
      <c r="E111" s="27"/>
    </row>
    <row r="112" spans="1:8" ht="17.25" thickBot="1" x14ac:dyDescent="0.2">
      <c r="A112" s="29" t="s">
        <v>252</v>
      </c>
      <c r="B112" s="43" t="s">
        <v>93</v>
      </c>
      <c r="C112" s="44">
        <f>SQRT(2)*$C111/2</f>
        <v>17.624334786638734</v>
      </c>
      <c r="D112" s="30" t="s">
        <v>10</v>
      </c>
      <c r="E112" s="146"/>
    </row>
    <row r="113" spans="1:5" ht="14.25" thickBot="1" x14ac:dyDescent="0.2">
      <c r="A113" s="180"/>
      <c r="B113" s="181"/>
      <c r="C113" s="181"/>
      <c r="D113" s="181"/>
      <c r="E113" s="144"/>
    </row>
    <row r="114" spans="1:5" x14ac:dyDescent="0.15">
      <c r="A114" s="177" t="s">
        <v>95</v>
      </c>
      <c r="B114" s="178"/>
      <c r="C114" s="178"/>
      <c r="D114" s="179"/>
      <c r="E114" s="143"/>
    </row>
    <row r="115" spans="1:5" ht="16.5" x14ac:dyDescent="0.15">
      <c r="A115" s="22" t="s">
        <v>253</v>
      </c>
      <c r="B115" s="28" t="s">
        <v>136</v>
      </c>
      <c r="C115" s="82">
        <f>2*PI()*fsw_min*kHz*Lr*uH*Ir</f>
        <v>22.232580914161002</v>
      </c>
      <c r="D115" s="27" t="s">
        <v>7</v>
      </c>
      <c r="E115" s="27"/>
    </row>
    <row r="116" spans="1:5" ht="16.5" x14ac:dyDescent="0.15">
      <c r="A116" s="22" t="s">
        <v>254</v>
      </c>
      <c r="B116" s="28" t="s">
        <v>75</v>
      </c>
      <c r="C116" s="82">
        <f>Lr</f>
        <v>85</v>
      </c>
      <c r="D116" s="27" t="str">
        <f>D94</f>
        <v>uH</v>
      </c>
      <c r="E116" s="27"/>
    </row>
    <row r="117" spans="1:5" ht="17.25" thickBot="1" x14ac:dyDescent="0.2">
      <c r="A117" s="29" t="s">
        <v>255</v>
      </c>
      <c r="B117" s="43" t="s">
        <v>90</v>
      </c>
      <c r="C117" s="83">
        <f>Ir</f>
        <v>1.0991512280497657</v>
      </c>
      <c r="D117" s="30" t="str">
        <f>D112</f>
        <v>A</v>
      </c>
      <c r="E117" s="146"/>
    </row>
    <row r="118" spans="1:5" ht="14.25" thickBot="1" x14ac:dyDescent="0.2">
      <c r="A118" s="50"/>
    </row>
    <row r="119" spans="1:5" s="51" customFormat="1" x14ac:dyDescent="0.15">
      <c r="A119" s="177" t="s">
        <v>96</v>
      </c>
      <c r="B119" s="178"/>
      <c r="C119" s="178"/>
      <c r="D119" s="179"/>
      <c r="E119" s="143"/>
    </row>
    <row r="120" spans="1:5" ht="16.5" x14ac:dyDescent="0.15">
      <c r="A120" s="22" t="s">
        <v>256</v>
      </c>
      <c r="B120" s="28" t="s">
        <v>137</v>
      </c>
      <c r="C120" s="86">
        <f>IF($D91="uF",Ir/(2*PI()*fsw_min*kHz*Cr*uF),Ir/(2*PI()*fsw_min*kHz*Cr*picoF))</f>
        <v>153.9652417878186</v>
      </c>
      <c r="D120" s="27" t="s">
        <v>7</v>
      </c>
      <c r="E120" s="27"/>
    </row>
    <row r="121" spans="1:5" ht="16.5" x14ac:dyDescent="0.15">
      <c r="A121" s="22" t="s">
        <v>257</v>
      </c>
      <c r="B121" s="28" t="s">
        <v>138</v>
      </c>
      <c r="C121" s="86">
        <f>SQRT((Vblk_max/2)^2+Vcr^2)</f>
        <v>260.3945000931883</v>
      </c>
      <c r="D121" s="27" t="s">
        <v>7</v>
      </c>
      <c r="E121" s="27"/>
    </row>
    <row r="122" spans="1:5" ht="16.5" x14ac:dyDescent="0.15">
      <c r="A122" s="22" t="s">
        <v>258</v>
      </c>
      <c r="B122" s="28" t="s">
        <v>139</v>
      </c>
      <c r="C122" s="86">
        <f>(Vblk_max/2)+(SQRT(2)*Vcr)</f>
        <v>427.73973307038591</v>
      </c>
      <c r="D122" s="27" t="s">
        <v>7</v>
      </c>
      <c r="E122" s="27"/>
    </row>
    <row r="123" spans="1:5" ht="18" x14ac:dyDescent="0.35">
      <c r="A123" s="59" t="s">
        <v>259</v>
      </c>
      <c r="B123" s="59" t="s">
        <v>168</v>
      </c>
      <c r="C123" s="84">
        <f>Vblk_max/2-(Vcr*SQRT(2))</f>
        <v>-7.7397330703858813</v>
      </c>
      <c r="D123" s="27" t="s">
        <v>7</v>
      </c>
      <c r="E123" s="27"/>
    </row>
    <row r="124" spans="1:5" ht="17.25" thickBot="1" x14ac:dyDescent="0.2">
      <c r="A124" s="22" t="s">
        <v>260</v>
      </c>
      <c r="B124" s="28" t="s">
        <v>90</v>
      </c>
      <c r="C124" s="82">
        <f>Ir</f>
        <v>1.0991512280497657</v>
      </c>
      <c r="D124" s="27" t="s">
        <v>10</v>
      </c>
      <c r="E124" s="146"/>
    </row>
    <row r="125" spans="1:5" x14ac:dyDescent="0.15">
      <c r="A125" s="223" t="s">
        <v>97</v>
      </c>
      <c r="B125" s="224"/>
      <c r="C125" s="224"/>
      <c r="D125" s="225"/>
      <c r="E125" s="143"/>
    </row>
    <row r="126" spans="1:5" ht="17.25" thickBot="1" x14ac:dyDescent="0.2">
      <c r="A126" s="29" t="s">
        <v>329</v>
      </c>
      <c r="B126" s="43" t="s">
        <v>140</v>
      </c>
      <c r="C126" s="83">
        <f>Cr/2</f>
        <v>1.4999999999999999E-2</v>
      </c>
      <c r="D126" s="30" t="str">
        <f>IF(D92="uF", "uF","pF")</f>
        <v>uF</v>
      </c>
      <c r="E126" s="29"/>
    </row>
    <row r="127" spans="1:5" ht="14.25" thickBot="1" x14ac:dyDescent="0.2">
      <c r="A127" s="50"/>
      <c r="D127" s="145"/>
    </row>
    <row r="128" spans="1:5" x14ac:dyDescent="0.15">
      <c r="A128" s="177" t="s">
        <v>98</v>
      </c>
      <c r="B128" s="178"/>
      <c r="C128" s="178"/>
      <c r="D128" s="179"/>
      <c r="E128" s="143"/>
    </row>
    <row r="129" spans="1:5" ht="16.5" x14ac:dyDescent="0.15">
      <c r="A129" s="22" t="s">
        <v>261</v>
      </c>
      <c r="B129" s="28" t="s">
        <v>99</v>
      </c>
      <c r="C129" s="86">
        <f>Vblk_max*1.5</f>
        <v>630</v>
      </c>
      <c r="D129" s="27" t="s">
        <v>7</v>
      </c>
      <c r="E129" s="27"/>
    </row>
    <row r="130" spans="1:5" ht="17.25" thickBot="1" x14ac:dyDescent="0.2">
      <c r="A130" s="29" t="s">
        <v>262</v>
      </c>
      <c r="B130" s="43" t="s">
        <v>100</v>
      </c>
      <c r="C130" s="83">
        <f>1.1*Ir</f>
        <v>1.2090663508547423</v>
      </c>
      <c r="D130" s="30" t="s">
        <v>10</v>
      </c>
      <c r="E130" s="146"/>
    </row>
    <row r="131" spans="1:5" ht="14.25" thickBot="1" x14ac:dyDescent="0.2">
      <c r="A131" s="24"/>
      <c r="B131" s="23"/>
      <c r="C131" s="23"/>
      <c r="D131" s="23"/>
    </row>
    <row r="132" spans="1:5" x14ac:dyDescent="0.15">
      <c r="A132" s="177" t="s">
        <v>330</v>
      </c>
      <c r="B132" s="178"/>
      <c r="C132" s="178"/>
      <c r="D132" s="179"/>
      <c r="E132" s="143"/>
    </row>
    <row r="133" spans="1:5" ht="16.5" x14ac:dyDescent="0.15">
      <c r="A133" s="22" t="s">
        <v>263</v>
      </c>
      <c r="B133" s="28" t="s">
        <v>101</v>
      </c>
      <c r="C133" s="82">
        <f>(Vblk_max/Nps)*1.2</f>
        <v>12.923076923076923</v>
      </c>
      <c r="D133" s="27" t="s">
        <v>7</v>
      </c>
      <c r="E133" s="27"/>
    </row>
    <row r="134" spans="1:5" ht="17.25" thickBot="1" x14ac:dyDescent="0.2">
      <c r="A134" s="29" t="s">
        <v>264</v>
      </c>
      <c r="B134" s="43" t="s">
        <v>102</v>
      </c>
      <c r="C134" s="83">
        <f>SQRT(2)*C111/PI()</f>
        <v>11.219999999999997</v>
      </c>
      <c r="D134" s="30" t="s">
        <v>10</v>
      </c>
      <c r="E134" s="146"/>
    </row>
    <row r="135" spans="1:5" ht="14.25" thickBot="1" x14ac:dyDescent="0.2">
      <c r="A135" s="50"/>
      <c r="D135" s="145"/>
    </row>
    <row r="136" spans="1:5" ht="16.5" x14ac:dyDescent="0.15">
      <c r="A136" s="177" t="s">
        <v>108</v>
      </c>
      <c r="B136" s="178"/>
      <c r="C136" s="178"/>
      <c r="D136" s="179"/>
      <c r="E136" s="143"/>
    </row>
    <row r="137" spans="1:5" ht="16.5" x14ac:dyDescent="0.15">
      <c r="A137" s="22" t="s">
        <v>332</v>
      </c>
      <c r="B137" s="28" t="s">
        <v>105</v>
      </c>
      <c r="C137" s="82">
        <f>PI()*Iout/(2*SQRT(2))</f>
        <v>22.658702984607665</v>
      </c>
      <c r="D137" s="27" t="s">
        <v>10</v>
      </c>
      <c r="E137" s="27"/>
    </row>
    <row r="138" spans="1:5" ht="16.5" x14ac:dyDescent="0.15">
      <c r="A138" s="22" t="s">
        <v>265</v>
      </c>
      <c r="B138" s="28" t="s">
        <v>103</v>
      </c>
      <c r="C138" s="81">
        <f>MROUND(Vout*1.25,10)</f>
        <v>10</v>
      </c>
      <c r="D138" s="27" t="s">
        <v>7</v>
      </c>
      <c r="E138" s="27"/>
    </row>
    <row r="139" spans="1:5" ht="16.5" x14ac:dyDescent="0.15">
      <c r="A139" s="22" t="s">
        <v>331</v>
      </c>
      <c r="B139" s="28" t="s">
        <v>104</v>
      </c>
      <c r="C139" s="82">
        <f>SQRT((PI()*Iout/(2*SQRT(2)))^2-Iout^2)</f>
        <v>9.8618872912170481</v>
      </c>
      <c r="D139" s="27" t="s">
        <v>10</v>
      </c>
      <c r="E139" s="27" t="s">
        <v>126</v>
      </c>
    </row>
    <row r="140" spans="1:5" ht="17.25" thickBot="1" x14ac:dyDescent="0.2">
      <c r="A140" s="29" t="s">
        <v>266</v>
      </c>
      <c r="B140" s="43" t="s">
        <v>106</v>
      </c>
      <c r="C140" s="83">
        <f>Vout_pp*mV/((2*PI()*Iout)/4)/mOhm</f>
        <v>1.5603425793323076</v>
      </c>
      <c r="D140" s="30" t="s">
        <v>107</v>
      </c>
      <c r="E140" s="146"/>
    </row>
    <row r="141" spans="1:5" ht="14.25" thickBot="1" x14ac:dyDescent="0.2">
      <c r="A141" s="50"/>
      <c r="C141" s="54"/>
    </row>
    <row r="142" spans="1:5" x14ac:dyDescent="0.15">
      <c r="A142" s="177" t="s">
        <v>141</v>
      </c>
      <c r="B142" s="178"/>
      <c r="C142" s="178"/>
      <c r="D142" s="179"/>
      <c r="E142" s="143"/>
    </row>
    <row r="143" spans="1:5" ht="16.5" x14ac:dyDescent="0.25">
      <c r="A143" s="63" t="s">
        <v>267</v>
      </c>
      <c r="B143" s="55" t="s">
        <v>142</v>
      </c>
      <c r="C143" s="117">
        <f>IF($C$22="UCC256404", 1, 3)</f>
        <v>3</v>
      </c>
      <c r="D143" s="64" t="s">
        <v>7</v>
      </c>
      <c r="E143" s="27"/>
    </row>
    <row r="144" spans="1:5" ht="16.5" x14ac:dyDescent="0.25">
      <c r="A144" s="63" t="s">
        <v>268</v>
      </c>
      <c r="B144" s="55" t="s">
        <v>143</v>
      </c>
      <c r="C144" s="117">
        <f>IF($C$22="UCC256404", 0.9, 2.2)</f>
        <v>2.2000000000000002</v>
      </c>
      <c r="D144" s="64" t="s">
        <v>7</v>
      </c>
      <c r="E144" s="27"/>
    </row>
    <row r="145" spans="1:5" ht="18" x14ac:dyDescent="0.35">
      <c r="A145" s="63" t="s">
        <v>269</v>
      </c>
      <c r="B145" s="56" t="s">
        <v>144</v>
      </c>
      <c r="C145" s="55">
        <f>Vblk_hu</f>
        <v>256</v>
      </c>
      <c r="D145" s="64" t="s">
        <v>7</v>
      </c>
      <c r="E145" s="27"/>
    </row>
    <row r="146" spans="1:5" ht="16.5" x14ac:dyDescent="0.25">
      <c r="A146" s="63" t="s">
        <v>271</v>
      </c>
      <c r="B146" s="55" t="s">
        <v>145</v>
      </c>
      <c r="C146" s="55">
        <f>Vblk</f>
        <v>390</v>
      </c>
      <c r="D146" s="64" t="s">
        <v>7</v>
      </c>
      <c r="E146" s="27"/>
    </row>
    <row r="147" spans="1:5" ht="16.5" x14ac:dyDescent="0.25">
      <c r="A147" s="63" t="s">
        <v>272</v>
      </c>
      <c r="B147" s="55" t="s">
        <v>147</v>
      </c>
      <c r="C147" s="62">
        <f>C145/C143</f>
        <v>85.333333333333329</v>
      </c>
      <c r="D147" s="64"/>
      <c r="E147" s="27"/>
    </row>
    <row r="148" spans="1:5" ht="16.5" x14ac:dyDescent="0.25">
      <c r="A148" s="63" t="s">
        <v>273</v>
      </c>
      <c r="B148" s="55" t="s">
        <v>148</v>
      </c>
      <c r="C148" s="100">
        <v>50</v>
      </c>
      <c r="D148" s="64" t="s">
        <v>339</v>
      </c>
      <c r="E148" s="27" t="s">
        <v>184</v>
      </c>
    </row>
    <row r="149" spans="1:5" ht="16.5" x14ac:dyDescent="0.25">
      <c r="A149" s="63" t="s">
        <v>274</v>
      </c>
      <c r="B149" s="55" t="s">
        <v>149</v>
      </c>
      <c r="C149" s="55">
        <f>C146^2/C148/10^3</f>
        <v>3.0419999999999998</v>
      </c>
      <c r="D149" s="65" t="s">
        <v>150</v>
      </c>
      <c r="E149" s="27"/>
    </row>
    <row r="150" spans="1:5" ht="16.5" x14ac:dyDescent="0.25">
      <c r="A150" s="63" t="s">
        <v>413</v>
      </c>
      <c r="B150" s="55" t="s">
        <v>195</v>
      </c>
      <c r="C150" s="85">
        <f>C149/C147*1000</f>
        <v>35.6484375</v>
      </c>
      <c r="D150" s="65" t="s">
        <v>151</v>
      </c>
      <c r="E150" s="27"/>
    </row>
    <row r="151" spans="1:5" ht="16.5" x14ac:dyDescent="0.25">
      <c r="A151" s="63" t="s">
        <v>277</v>
      </c>
      <c r="B151" s="55" t="s">
        <v>195</v>
      </c>
      <c r="C151" s="100">
        <v>41.2</v>
      </c>
      <c r="D151" s="65" t="s">
        <v>151</v>
      </c>
      <c r="E151" s="27" t="s">
        <v>185</v>
      </c>
    </row>
    <row r="152" spans="1:5" ht="16.5" x14ac:dyDescent="0.25">
      <c r="A152" s="63" t="s">
        <v>275</v>
      </c>
      <c r="B152" s="55" t="s">
        <v>194</v>
      </c>
      <c r="C152" s="85">
        <f>C149-C150/1000</f>
        <v>3.0063515624999999</v>
      </c>
      <c r="D152" s="65" t="s">
        <v>150</v>
      </c>
      <c r="E152" s="27"/>
    </row>
    <row r="153" spans="1:5" ht="16.5" x14ac:dyDescent="0.25">
      <c r="A153" s="63" t="s">
        <v>276</v>
      </c>
      <c r="B153" s="55" t="s">
        <v>194</v>
      </c>
      <c r="C153" s="100">
        <v>14.97</v>
      </c>
      <c r="D153" s="65" t="s">
        <v>150</v>
      </c>
      <c r="E153" s="27" t="s">
        <v>207</v>
      </c>
    </row>
    <row r="154" spans="1:5" ht="18" x14ac:dyDescent="0.35">
      <c r="A154" s="63" t="s">
        <v>270</v>
      </c>
      <c r="B154" s="56" t="s">
        <v>144</v>
      </c>
      <c r="C154" s="62">
        <f>$C143*($C153*1000+$C151)/$C151</f>
        <v>1093.0485436893205</v>
      </c>
      <c r="D154" s="64" t="s">
        <v>7</v>
      </c>
      <c r="E154" s="27"/>
    </row>
    <row r="155" spans="1:5" ht="16.5" x14ac:dyDescent="0.25">
      <c r="A155" s="63" t="s">
        <v>337</v>
      </c>
      <c r="B155" s="55" t="s">
        <v>146</v>
      </c>
      <c r="C155" s="62">
        <f>$C144*($C153*1000+$C151)/$C151</f>
        <v>801.5689320388351</v>
      </c>
      <c r="D155" s="64" t="s">
        <v>7</v>
      </c>
      <c r="E155" s="27"/>
    </row>
    <row r="156" spans="1:5" ht="17.25" thickBot="1" x14ac:dyDescent="0.3">
      <c r="A156" s="29" t="s">
        <v>338</v>
      </c>
      <c r="B156" s="130" t="s">
        <v>148</v>
      </c>
      <c r="C156" s="83">
        <f>1000*(C146^2)/(C151*1000+C153*1000000)</f>
        <v>10.132434448944787</v>
      </c>
      <c r="D156" s="30" t="s">
        <v>339</v>
      </c>
      <c r="E156" s="146"/>
    </row>
    <row r="157" spans="1:5" ht="14.25" thickBot="1" x14ac:dyDescent="0.2"/>
    <row r="158" spans="1:5" x14ac:dyDescent="0.15">
      <c r="A158" s="174" t="s">
        <v>152</v>
      </c>
      <c r="B158" s="175"/>
      <c r="C158" s="175"/>
      <c r="D158" s="176"/>
      <c r="E158" s="143"/>
    </row>
    <row r="159" spans="1:5" ht="18" x14ac:dyDescent="0.35">
      <c r="A159" s="68" t="s">
        <v>278</v>
      </c>
      <c r="B159" s="59" t="s">
        <v>161</v>
      </c>
      <c r="C159" s="78">
        <f>Ir/0.707</f>
        <v>1.5546693466050436</v>
      </c>
      <c r="D159" s="69" t="s">
        <v>10</v>
      </c>
      <c r="E159" s="27"/>
    </row>
    <row r="160" spans="1:5" ht="18" x14ac:dyDescent="0.35">
      <c r="A160" s="68" t="s">
        <v>279</v>
      </c>
      <c r="B160" s="59" t="s">
        <v>518</v>
      </c>
      <c r="C160" s="66">
        <f>C122-C123</f>
        <v>435.47946614077182</v>
      </c>
      <c r="D160" s="69" t="s">
        <v>7</v>
      </c>
      <c r="E160" s="27"/>
    </row>
    <row r="161" spans="1:5" ht="18" x14ac:dyDescent="0.35">
      <c r="A161" s="68" t="s">
        <v>280</v>
      </c>
      <c r="B161" s="59" t="s">
        <v>163</v>
      </c>
      <c r="C161" s="111">
        <v>3.02</v>
      </c>
      <c r="D161" s="69" t="s">
        <v>7</v>
      </c>
      <c r="E161" s="27"/>
    </row>
    <row r="162" spans="1:5" ht="18" x14ac:dyDescent="0.35">
      <c r="A162" s="68" t="s">
        <v>375</v>
      </c>
      <c r="B162" s="59" t="s">
        <v>162</v>
      </c>
      <c r="C162" s="96">
        <v>4.25</v>
      </c>
      <c r="D162" s="69" t="s">
        <v>7</v>
      </c>
      <c r="E162" s="27" t="s">
        <v>396</v>
      </c>
    </row>
    <row r="163" spans="1:5" ht="18" x14ac:dyDescent="0.35">
      <c r="A163" s="68" t="s">
        <v>378</v>
      </c>
      <c r="B163" s="59" t="s">
        <v>376</v>
      </c>
      <c r="C163" s="96">
        <v>1.75</v>
      </c>
      <c r="D163" s="69" t="s">
        <v>7</v>
      </c>
      <c r="E163" s="27" t="s">
        <v>387</v>
      </c>
    </row>
    <row r="164" spans="1:5" ht="18" x14ac:dyDescent="0.35">
      <c r="A164" s="68" t="s">
        <v>283</v>
      </c>
      <c r="B164" s="59" t="s">
        <v>166</v>
      </c>
      <c r="C164" s="112">
        <v>2</v>
      </c>
      <c r="D164" s="69" t="s">
        <v>156</v>
      </c>
      <c r="E164" s="27"/>
    </row>
    <row r="165" spans="1:5" ht="18" x14ac:dyDescent="0.35">
      <c r="A165" s="68" t="s">
        <v>377</v>
      </c>
      <c r="B165" s="59" t="s">
        <v>167</v>
      </c>
      <c r="C165" s="111">
        <f>C160/(C162-C163)</f>
        <v>174.19178645630873</v>
      </c>
      <c r="D165" s="69"/>
      <c r="E165" s="27"/>
    </row>
    <row r="166" spans="1:5" ht="18" x14ac:dyDescent="0.35">
      <c r="A166" s="68" t="s">
        <v>286</v>
      </c>
      <c r="B166" s="59" t="s">
        <v>193</v>
      </c>
      <c r="C166" s="128">
        <f>(1/C163)*(C164/1000)/(2*fsw_min*kHz)*1000000000000</f>
        <v>15087.883195639348</v>
      </c>
      <c r="D166" s="69" t="s">
        <v>71</v>
      </c>
      <c r="E166" s="27"/>
    </row>
    <row r="167" spans="1:5" ht="18" x14ac:dyDescent="0.35">
      <c r="A167" s="68" t="s">
        <v>287</v>
      </c>
      <c r="B167" s="59" t="s">
        <v>193</v>
      </c>
      <c r="C167" s="99">
        <v>15000</v>
      </c>
      <c r="D167" s="69" t="s">
        <v>71</v>
      </c>
      <c r="E167" s="27" t="s">
        <v>382</v>
      </c>
    </row>
    <row r="168" spans="1:5" ht="18" x14ac:dyDescent="0.35">
      <c r="A168" s="68" t="s">
        <v>284</v>
      </c>
      <c r="B168" s="59" t="s">
        <v>192</v>
      </c>
      <c r="C168" s="128">
        <f>C167/(C165-1)</f>
        <v>86.60918803897242</v>
      </c>
      <c r="D168" s="69" t="s">
        <v>71</v>
      </c>
      <c r="E168" s="27"/>
    </row>
    <row r="169" spans="1:5" ht="18" x14ac:dyDescent="0.35">
      <c r="A169" s="68" t="s">
        <v>285</v>
      </c>
      <c r="B169" s="59" t="s">
        <v>192</v>
      </c>
      <c r="C169" s="99">
        <v>150</v>
      </c>
      <c r="D169" s="69" t="s">
        <v>71</v>
      </c>
      <c r="E169" s="27" t="s">
        <v>383</v>
      </c>
    </row>
    <row r="170" spans="1:5" ht="18" x14ac:dyDescent="0.35">
      <c r="A170" s="68" t="s">
        <v>380</v>
      </c>
      <c r="B170" s="59" t="s">
        <v>167</v>
      </c>
      <c r="C170" s="113">
        <f>C167/C169+1</f>
        <v>101</v>
      </c>
      <c r="D170" s="69"/>
      <c r="E170" s="27"/>
    </row>
    <row r="171" spans="1:5" ht="18" x14ac:dyDescent="0.35">
      <c r="A171" s="68" t="s">
        <v>379</v>
      </c>
      <c r="B171" s="59" t="s">
        <v>162</v>
      </c>
      <c r="C171" s="111">
        <f>(1/C167)*(C164/1000)/(2*fsw_min*kHz)*1000000000000+C160/C170</f>
        <v>6.0719309220731574</v>
      </c>
      <c r="D171" s="69" t="s">
        <v>7</v>
      </c>
      <c r="E171" s="27"/>
    </row>
    <row r="172" spans="1:5" ht="18" x14ac:dyDescent="0.35">
      <c r="A172" s="68" t="s">
        <v>281</v>
      </c>
      <c r="B172" s="59" t="s">
        <v>164</v>
      </c>
      <c r="C172" s="78">
        <f>C161+C171/2</f>
        <v>6.0559654610365783</v>
      </c>
      <c r="D172" s="69" t="s">
        <v>7</v>
      </c>
      <c r="E172" s="27"/>
    </row>
    <row r="173" spans="1:5" ht="18.75" thickBot="1" x14ac:dyDescent="0.4">
      <c r="A173" s="70" t="s">
        <v>282</v>
      </c>
      <c r="B173" s="71" t="s">
        <v>165</v>
      </c>
      <c r="C173" s="79">
        <f>C161-C171/2</f>
        <v>-1.5965461036578699E-2</v>
      </c>
      <c r="D173" s="72" t="s">
        <v>7</v>
      </c>
      <c r="E173" s="146"/>
    </row>
    <row r="174" spans="1:5" ht="15.75" thickBot="1" x14ac:dyDescent="0.3">
      <c r="A174" s="138"/>
      <c r="B174" s="57"/>
      <c r="C174" s="139"/>
      <c r="D174" s="57"/>
    </row>
    <row r="175" spans="1:5" x14ac:dyDescent="0.15">
      <c r="A175" s="174" t="s">
        <v>154</v>
      </c>
      <c r="B175" s="175"/>
      <c r="C175" s="175"/>
      <c r="D175" s="176"/>
      <c r="E175" s="143"/>
    </row>
    <row r="176" spans="1:5" ht="18" x14ac:dyDescent="0.35">
      <c r="A176" s="68" t="s">
        <v>293</v>
      </c>
      <c r="B176" s="59" t="s">
        <v>172</v>
      </c>
      <c r="C176" s="96">
        <v>200</v>
      </c>
      <c r="D176" s="69" t="s">
        <v>160</v>
      </c>
      <c r="E176" s="27" t="s">
        <v>208</v>
      </c>
    </row>
    <row r="177" spans="1:5" ht="31.5" x14ac:dyDescent="0.35">
      <c r="A177" s="137" t="s">
        <v>398</v>
      </c>
      <c r="B177" s="59" t="s">
        <v>397</v>
      </c>
      <c r="C177" s="96">
        <v>0.3</v>
      </c>
      <c r="D177" s="69" t="s">
        <v>7</v>
      </c>
      <c r="E177" s="27" t="s">
        <v>399</v>
      </c>
    </row>
    <row r="178" spans="1:5" ht="18" x14ac:dyDescent="0.35">
      <c r="A178" s="68" t="s">
        <v>294</v>
      </c>
      <c r="B178" s="59" t="s">
        <v>173</v>
      </c>
      <c r="C178" s="114">
        <v>-4</v>
      </c>
      <c r="D178" s="69" t="s">
        <v>7</v>
      </c>
      <c r="E178" s="27"/>
    </row>
    <row r="179" spans="1:5" ht="18" x14ac:dyDescent="0.35">
      <c r="A179" s="68" t="s">
        <v>295</v>
      </c>
      <c r="B179" s="59" t="s">
        <v>174</v>
      </c>
      <c r="C179" s="78">
        <f>C178/C176*100</f>
        <v>-2</v>
      </c>
      <c r="D179" s="69" t="s">
        <v>7</v>
      </c>
      <c r="E179" s="27"/>
    </row>
    <row r="180" spans="1:5" ht="18" x14ac:dyDescent="0.35">
      <c r="A180" s="68" t="s">
        <v>296</v>
      </c>
      <c r="B180" s="59" t="s">
        <v>175</v>
      </c>
      <c r="C180" s="67">
        <f>(Vout+C177)*Nps/C43</f>
        <v>16.319279962103266</v>
      </c>
      <c r="D180" s="69" t="s">
        <v>7</v>
      </c>
      <c r="E180" s="27"/>
    </row>
    <row r="181" spans="1:5" ht="18" x14ac:dyDescent="0.35">
      <c r="A181" s="68" t="s">
        <v>297</v>
      </c>
      <c r="B181" s="59" t="s">
        <v>209</v>
      </c>
      <c r="C181" s="66">
        <f>-C180*C176/(100*C178)</f>
        <v>8.1596399810516331</v>
      </c>
      <c r="D181" s="69"/>
      <c r="E181" s="27"/>
    </row>
    <row r="182" spans="1:5" ht="30" x14ac:dyDescent="0.25">
      <c r="A182" s="118" t="s">
        <v>392</v>
      </c>
      <c r="B182" s="119" t="s">
        <v>343</v>
      </c>
      <c r="C182" s="132" t="s">
        <v>528</v>
      </c>
      <c r="D182" s="69"/>
      <c r="E182" s="149" t="s">
        <v>420</v>
      </c>
    </row>
    <row r="183" spans="1:5" ht="18" x14ac:dyDescent="0.25">
      <c r="A183" s="118" t="s">
        <v>390</v>
      </c>
      <c r="B183" s="119" t="s">
        <v>343</v>
      </c>
      <c r="C183" s="159" t="str">
        <f>IF(C182="Option 1",0.95,IF(C182="Option 2",1,IF(C182="Option 3",0.9,IF(C182="Option 4",0.8,IF(C182="Option 5",0.6,IF(C182="Option 6",0.6,IF(C182="Option 7","Burst Disabled","")))))))</f>
        <v>Burst Disabled</v>
      </c>
      <c r="D183" s="69"/>
      <c r="E183" s="27"/>
    </row>
    <row r="184" spans="1:5" ht="18" x14ac:dyDescent="0.35">
      <c r="A184" s="68" t="s">
        <v>355</v>
      </c>
      <c r="B184" s="59" t="s">
        <v>352</v>
      </c>
      <c r="C184" s="66">
        <f>IF(C182="Option 1",'tables and calculations'!D219,IF(C182="Option 2",'tables and calculations'!D220,IF(C182="Option 3",'tables and calculations'!D221,IF(C182="Option 4",'tables and calculations'!D222,IF(C182="Option 5",'tables and calculations'!D223,IF(C182="Option 6",'tables and calculations'!D224,IF(C182="Option 7",'tables and calculations'!D225,"")))))))</f>
        <v>2.73</v>
      </c>
      <c r="D184" s="69" t="s">
        <v>183</v>
      </c>
      <c r="E184" s="27"/>
    </row>
    <row r="185" spans="1:5" ht="18" x14ac:dyDescent="0.35">
      <c r="A185" s="68" t="s">
        <v>353</v>
      </c>
      <c r="B185" s="59" t="s">
        <v>176</v>
      </c>
      <c r="C185" s="121">
        <f>C184*(1+(1/(C181-1)))</f>
        <v>3.1113040889241765</v>
      </c>
      <c r="D185" s="69" t="s">
        <v>183</v>
      </c>
      <c r="E185" s="27"/>
    </row>
    <row r="186" spans="1:5" ht="18" x14ac:dyDescent="0.35">
      <c r="A186" s="68" t="s">
        <v>298</v>
      </c>
      <c r="B186" s="59" t="s">
        <v>176</v>
      </c>
      <c r="C186" s="136">
        <v>3.3</v>
      </c>
      <c r="D186" s="69" t="s">
        <v>183</v>
      </c>
      <c r="E186" s="27" t="s">
        <v>187</v>
      </c>
    </row>
    <row r="187" spans="1:5" ht="18" x14ac:dyDescent="0.35">
      <c r="A187" s="68" t="s">
        <v>299</v>
      </c>
      <c r="B187" s="59" t="s">
        <v>177</v>
      </c>
      <c r="C187" s="123">
        <f>C186*(C181-1)</f>
        <v>23.626811937470389</v>
      </c>
      <c r="D187" s="69" t="s">
        <v>183</v>
      </c>
      <c r="E187" s="27"/>
    </row>
    <row r="188" spans="1:5" ht="18" x14ac:dyDescent="0.35">
      <c r="A188" s="11" t="s">
        <v>300</v>
      </c>
      <c r="B188" s="59" t="s">
        <v>177</v>
      </c>
      <c r="C188" s="134">
        <v>18</v>
      </c>
      <c r="D188" s="69" t="s">
        <v>183</v>
      </c>
      <c r="E188" s="27" t="s">
        <v>381</v>
      </c>
    </row>
    <row r="189" spans="1:5" ht="18" x14ac:dyDescent="0.35">
      <c r="A189" s="122" t="s">
        <v>354</v>
      </c>
      <c r="B189" s="59" t="s">
        <v>352</v>
      </c>
      <c r="C189" s="135">
        <f>1/((1/C186)+(1/C188))</f>
        <v>2.7887323943661975</v>
      </c>
      <c r="D189" s="69" t="s">
        <v>183</v>
      </c>
      <c r="E189" s="27"/>
    </row>
    <row r="190" spans="1:5" ht="115.5" customHeight="1" x14ac:dyDescent="0.25">
      <c r="A190" s="118" t="s">
        <v>393</v>
      </c>
      <c r="B190" s="119" t="s">
        <v>343</v>
      </c>
      <c r="C190" s="154" t="str">
        <f>IF(AND(C189&gt;='tables and calculations'!B219/1000,C189&lt;='tables and calculations'!C219/1000),"Option 1",IF(AND(C189&gt;='tables and calculations'!B220/1000,C189&lt;='tables and calculations'!C220/1000),"Option 2",IF(AND(C189&gt;='tables and calculations'!B221/1000,C189&lt;='tables and calculations'!C221/1000),"Option 3",IF(AND(C189&gt;='tables and calculations'!B222/1000,C189&lt;='tables and calculations'!C222/1000),"Option 4",IF(AND(C189&gt;='tables and calculations'!B223/1000,C189&lt;='tables and calculations'!C223/1000),"Option 5",IF(AND(C189&gt;='tables and calculations'!B224/1000,C189&lt;='tables and calculations'!C224/1000),"Option 6",IF(AND(C189&gt;='tables and calculations'!B225/1000,C189&lt;='tables and calculations'!C225/1000),"Option 7","Error, BW resistance does not fall within predefined BW programming ranges")))))))</f>
        <v>Option 7</v>
      </c>
      <c r="D190" s="69"/>
      <c r="E190" s="27"/>
    </row>
    <row r="191" spans="1:5" ht="18" x14ac:dyDescent="0.25">
      <c r="A191" s="118" t="s">
        <v>391</v>
      </c>
      <c r="B191" s="119" t="s">
        <v>343</v>
      </c>
      <c r="C191" s="125" t="str">
        <f>IF(C190="Option 1",0.95,IF(C190="Option 2",1,IF(C190="Option 3",0.9,IF(C190="Option 4",0.8,IF(C190="Option 5",0.6,IF(C190="Option 6",0.6,IF(C190="Option 7","Burst Disabled",IF(C190="Option 8",0.4,"Error"))))))))</f>
        <v>Burst Disabled</v>
      </c>
      <c r="D191" s="69"/>
      <c r="E191" s="27"/>
    </row>
    <row r="192" spans="1:5" ht="18" x14ac:dyDescent="0.35">
      <c r="A192" s="68" t="s">
        <v>356</v>
      </c>
      <c r="B192" s="59" t="s">
        <v>172</v>
      </c>
      <c r="C192" s="67">
        <f>-C178*(C188+C186)/C186/(Vout+C177)*C43/Nps*100</f>
        <v>158.20662356511414</v>
      </c>
      <c r="D192" s="69" t="s">
        <v>160</v>
      </c>
      <c r="E192" s="27"/>
    </row>
    <row r="193" spans="1:6" ht="15" x14ac:dyDescent="0.25">
      <c r="A193" s="68" t="s">
        <v>301</v>
      </c>
      <c r="B193" s="59"/>
      <c r="C193" s="80">
        <f>1/(50*f0*10^3)/2/3.14/(C186*C192/(C186+C192))*10^9</f>
        <v>9.8848946840385157</v>
      </c>
      <c r="D193" s="69" t="s">
        <v>71</v>
      </c>
      <c r="E193" s="27"/>
    </row>
    <row r="194" spans="1:6" ht="15.75" thickBot="1" x14ac:dyDescent="0.3">
      <c r="A194" s="75" t="s">
        <v>302</v>
      </c>
      <c r="B194" s="76"/>
      <c r="C194" s="97">
        <v>47</v>
      </c>
      <c r="D194" s="77" t="s">
        <v>71</v>
      </c>
      <c r="E194" s="146" t="s">
        <v>189</v>
      </c>
    </row>
    <row r="195" spans="1:6" ht="14.25" thickBot="1" x14ac:dyDescent="0.2">
      <c r="A195" s="50"/>
      <c r="C195" s="54"/>
    </row>
    <row r="196" spans="1:6" x14ac:dyDescent="0.15">
      <c r="A196" s="174" t="s">
        <v>341</v>
      </c>
      <c r="B196" s="175"/>
      <c r="C196" s="175"/>
      <c r="D196" s="176"/>
      <c r="E196" s="143"/>
    </row>
    <row r="197" spans="1:6" ht="18" x14ac:dyDescent="0.35">
      <c r="A197" s="68" t="s">
        <v>288</v>
      </c>
      <c r="B197" s="59" t="s">
        <v>169</v>
      </c>
      <c r="C197" s="113">
        <v>37.5</v>
      </c>
      <c r="D197" s="69" t="s">
        <v>155</v>
      </c>
      <c r="E197" s="27"/>
    </row>
    <row r="198" spans="1:6" ht="18" x14ac:dyDescent="0.35">
      <c r="A198" s="73" t="s">
        <v>289</v>
      </c>
      <c r="B198" s="60" t="s">
        <v>170</v>
      </c>
      <c r="C198" s="98">
        <v>10</v>
      </c>
      <c r="D198" s="74" t="s">
        <v>157</v>
      </c>
      <c r="E198" s="27" t="s">
        <v>186</v>
      </c>
    </row>
    <row r="199" spans="1:6" ht="18" x14ac:dyDescent="0.35">
      <c r="A199" s="73" t="s">
        <v>291</v>
      </c>
      <c r="B199" s="60" t="s">
        <v>171</v>
      </c>
      <c r="C199" s="161">
        <f>1000000000*(C197/1000000)*((C198/1000)-(0.00078)-(0.000265))/(C171-C203)</f>
        <v>58.484245902204798</v>
      </c>
      <c r="D199" s="74" t="s">
        <v>159</v>
      </c>
      <c r="E199" s="27"/>
    </row>
    <row r="200" spans="1:6" ht="16.5" customHeight="1" x14ac:dyDescent="0.35">
      <c r="A200" s="73" t="s">
        <v>292</v>
      </c>
      <c r="B200" s="60" t="s">
        <v>171</v>
      </c>
      <c r="C200" s="158">
        <v>43</v>
      </c>
      <c r="D200" s="74" t="s">
        <v>159</v>
      </c>
      <c r="E200" s="27" t="s">
        <v>522</v>
      </c>
      <c r="F200"/>
    </row>
    <row r="201" spans="1:6" ht="18" x14ac:dyDescent="0.35">
      <c r="A201" s="73" t="s">
        <v>400</v>
      </c>
      <c r="B201" s="60" t="s">
        <v>389</v>
      </c>
      <c r="C201" s="162">
        <v>1.2</v>
      </c>
      <c r="D201" s="74" t="s">
        <v>7</v>
      </c>
      <c r="E201" s="27" t="s">
        <v>521</v>
      </c>
    </row>
    <row r="202" spans="1:6" ht="34.5" customHeight="1" x14ac:dyDescent="0.35">
      <c r="A202" s="73" t="s">
        <v>520</v>
      </c>
      <c r="B202" s="60" t="s">
        <v>523</v>
      </c>
      <c r="C202" s="171">
        <f>'tables and calculations'!B252</f>
        <v>0.32249793920015979</v>
      </c>
      <c r="D202" s="74" t="s">
        <v>7</v>
      </c>
      <c r="E202" s="27"/>
    </row>
    <row r="203" spans="1:6" ht="30" x14ac:dyDescent="0.35">
      <c r="A203" s="73" t="s">
        <v>357</v>
      </c>
      <c r="B203" s="60" t="s">
        <v>358</v>
      </c>
      <c r="C203" s="157">
        <v>0.33</v>
      </c>
      <c r="D203" s="74" t="s">
        <v>7</v>
      </c>
      <c r="E203" s="149" t="s">
        <v>524</v>
      </c>
    </row>
    <row r="204" spans="1:6" ht="18" x14ac:dyDescent="0.35">
      <c r="A204" s="73" t="s">
        <v>359</v>
      </c>
      <c r="B204" s="60" t="s">
        <v>360</v>
      </c>
      <c r="C204" s="126">
        <f>'tables and calculations'!B256/1000</f>
        <v>758.19591261451728</v>
      </c>
      <c r="D204" s="65" t="s">
        <v>151</v>
      </c>
      <c r="E204" s="172"/>
      <c r="F204"/>
    </row>
    <row r="205" spans="1:6" ht="18" x14ac:dyDescent="0.35">
      <c r="A205" s="73" t="s">
        <v>362</v>
      </c>
      <c r="B205" s="60" t="s">
        <v>361</v>
      </c>
      <c r="C205" s="126">
        <f>'tables and calculations'!B257/1000</f>
        <v>12287.378550261343</v>
      </c>
      <c r="D205" s="65" t="s">
        <v>151</v>
      </c>
      <c r="E205" s="173"/>
    </row>
    <row r="206" spans="1:6" ht="18" x14ac:dyDescent="0.35">
      <c r="A206" s="73" t="s">
        <v>363</v>
      </c>
      <c r="B206" s="60" t="s">
        <v>360</v>
      </c>
      <c r="C206" s="131">
        <v>750</v>
      </c>
      <c r="D206" s="65" t="s">
        <v>151</v>
      </c>
      <c r="E206" s="27" t="s">
        <v>384</v>
      </c>
    </row>
    <row r="207" spans="1:6" ht="18" x14ac:dyDescent="0.35">
      <c r="A207" s="73" t="s">
        <v>364</v>
      </c>
      <c r="B207" s="60" t="s">
        <v>361</v>
      </c>
      <c r="C207" s="131">
        <v>10000</v>
      </c>
      <c r="D207" s="65" t="s">
        <v>151</v>
      </c>
      <c r="E207" s="27" t="s">
        <v>385</v>
      </c>
    </row>
    <row r="208" spans="1:6" ht="18" x14ac:dyDescent="0.35">
      <c r="A208" s="73" t="s">
        <v>373</v>
      </c>
      <c r="B208" s="60" t="s">
        <v>358</v>
      </c>
      <c r="C208" s="127">
        <f>IF(C190="Option 5",0,IF(AND('tables and calculations'!B264&lt;0,'tables and calculations'!B267=0),0,'tables and calculations'!B264))</f>
        <v>0.32959523256071316</v>
      </c>
      <c r="D208" s="74" t="s">
        <v>7</v>
      </c>
      <c r="E208" s="27"/>
    </row>
    <row r="209" spans="1:7" ht="18" x14ac:dyDescent="0.35">
      <c r="A209" s="73" t="s">
        <v>525</v>
      </c>
      <c r="B209" s="60" t="s">
        <v>526</v>
      </c>
      <c r="C209" s="127">
        <f>'tables and calculations'!$B$266</f>
        <v>38.255813953488371</v>
      </c>
      <c r="D209" s="74" t="s">
        <v>7</v>
      </c>
      <c r="E209" s="27" t="s">
        <v>527</v>
      </c>
    </row>
    <row r="210" spans="1:7" ht="18" x14ac:dyDescent="0.35">
      <c r="A210" s="73" t="str">
        <f>IF($C$191="Burst Disabled","ZCS Disabled Threshold","Actual Burst Mode Exit Threshold")</f>
        <v>ZCS Disabled Threshold</v>
      </c>
      <c r="B210" s="60" t="s">
        <v>389</v>
      </c>
      <c r="C210" s="127">
        <f>IF('tables and calculations'!B265&lt;0.2,0.2,'tables and calculations'!B265)</f>
        <v>1.2316666666666669</v>
      </c>
      <c r="D210" s="74" t="s">
        <v>7</v>
      </c>
      <c r="E210" s="27"/>
      <c r="G210"/>
    </row>
    <row r="211" spans="1:7" ht="18" x14ac:dyDescent="0.35">
      <c r="A211" s="73" t="str">
        <f>IF($C$191="Burst Disabled","Max Switching Frequency Clamp Threshold","Actual Burst Mode Entry Threshold")</f>
        <v>Max Switching Frequency Clamp Threshold</v>
      </c>
      <c r="B211" s="60" t="s">
        <v>395</v>
      </c>
      <c r="C211" s="153">
        <f>IF($C$191="burst disabled",IF(C210*0.4&lt;0.2,0.2,C210*0.4),IF($C$191="Error","Error",IF($C$191*$C$210&lt;0.2,0.2,$C$210*$C$191)))</f>
        <v>0.49266666666666681</v>
      </c>
      <c r="D211" s="69" t="s">
        <v>7</v>
      </c>
      <c r="E211" s="27"/>
    </row>
    <row r="212" spans="1:7" ht="18.75" thickBot="1" x14ac:dyDescent="0.4">
      <c r="A212" s="70" t="s">
        <v>290</v>
      </c>
      <c r="B212" s="71" t="s">
        <v>170</v>
      </c>
      <c r="C212" s="129">
        <f>C200*0.000001*(C171-C208)/(C197*0.000001)</f>
        <v>6.5845449239742688</v>
      </c>
      <c r="D212" s="72" t="s">
        <v>157</v>
      </c>
      <c r="E212" s="146"/>
    </row>
    <row r="213" spans="1:7" ht="15.75" thickBot="1" x14ac:dyDescent="0.3">
      <c r="A213" s="58"/>
      <c r="B213" s="57"/>
      <c r="C213" s="57"/>
      <c r="D213" s="57"/>
    </row>
    <row r="214" spans="1:7" x14ac:dyDescent="0.15">
      <c r="A214" s="177" t="s">
        <v>153</v>
      </c>
      <c r="B214" s="178"/>
      <c r="C214" s="178"/>
      <c r="D214" s="179"/>
      <c r="E214" s="143"/>
    </row>
    <row r="215" spans="1:7" ht="15" x14ac:dyDescent="0.25">
      <c r="A215" s="68" t="s">
        <v>303</v>
      </c>
      <c r="B215" s="59"/>
      <c r="C215" s="114">
        <v>0.43</v>
      </c>
      <c r="D215" s="69" t="s">
        <v>7</v>
      </c>
      <c r="E215" s="27"/>
    </row>
    <row r="216" spans="1:7" ht="15" x14ac:dyDescent="0.25">
      <c r="A216" s="68" t="s">
        <v>304</v>
      </c>
      <c r="B216" s="59"/>
      <c r="C216" s="114">
        <v>0.6</v>
      </c>
      <c r="D216" s="69" t="s">
        <v>7</v>
      </c>
      <c r="E216" s="27"/>
    </row>
    <row r="217" spans="1:7" ht="15" x14ac:dyDescent="0.25">
      <c r="A217" s="68" t="s">
        <v>305</v>
      </c>
      <c r="B217" s="59"/>
      <c r="C217" s="114">
        <v>4</v>
      </c>
      <c r="D217" s="69" t="s">
        <v>7</v>
      </c>
      <c r="E217" s="27"/>
    </row>
    <row r="218" spans="1:7" ht="15" x14ac:dyDescent="0.25">
      <c r="A218" s="68" t="s">
        <v>306</v>
      </c>
      <c r="B218" s="59"/>
      <c r="C218" s="96">
        <v>130</v>
      </c>
      <c r="D218" s="69" t="s">
        <v>160</v>
      </c>
      <c r="E218" s="27" t="s">
        <v>211</v>
      </c>
    </row>
    <row r="219" spans="1:7" ht="15" x14ac:dyDescent="0.25">
      <c r="A219" s="68" t="s">
        <v>307</v>
      </c>
      <c r="B219" s="59"/>
      <c r="C219" s="67">
        <f>C218/C215*C216</f>
        <v>181.3953488372093</v>
      </c>
      <c r="D219" s="69" t="s">
        <v>160</v>
      </c>
      <c r="E219" s="27"/>
    </row>
    <row r="220" spans="1:7" ht="15" x14ac:dyDescent="0.25">
      <c r="A220" s="68" t="s">
        <v>308</v>
      </c>
      <c r="B220" s="59"/>
      <c r="C220" s="78">
        <f>C215/C218*100</f>
        <v>0.33076923076923076</v>
      </c>
      <c r="D220" s="69" t="s">
        <v>7</v>
      </c>
      <c r="E220" s="27"/>
    </row>
    <row r="221" spans="1:7" ht="18" x14ac:dyDescent="0.35">
      <c r="A221" s="68" t="s">
        <v>309</v>
      </c>
      <c r="B221" s="59" t="s">
        <v>210</v>
      </c>
      <c r="C221" s="78">
        <f>C220/(Pout/eff/Vblk)</f>
        <v>1.1635294117647059</v>
      </c>
      <c r="D221" s="69"/>
      <c r="E221" s="27"/>
    </row>
    <row r="222" spans="1:7" ht="18" x14ac:dyDescent="0.35">
      <c r="A222" s="68" t="s">
        <v>310</v>
      </c>
      <c r="B222" s="59" t="s">
        <v>178</v>
      </c>
      <c r="C222" s="96">
        <v>150</v>
      </c>
      <c r="D222" s="69" t="s">
        <v>71</v>
      </c>
      <c r="E222" s="150" t="s">
        <v>412</v>
      </c>
    </row>
    <row r="223" spans="1:7" ht="18" x14ac:dyDescent="0.35">
      <c r="A223" s="68" t="s">
        <v>311</v>
      </c>
      <c r="B223" s="59" t="s">
        <v>179</v>
      </c>
      <c r="C223" s="110">
        <f>Cr*10^-6/(C222*10^-12)*C221</f>
        <v>232.70588235294116</v>
      </c>
      <c r="D223" s="69" t="s">
        <v>158</v>
      </c>
      <c r="E223" s="27"/>
    </row>
    <row r="224" spans="1:7" ht="18" x14ac:dyDescent="0.35">
      <c r="A224" s="68" t="s">
        <v>312</v>
      </c>
      <c r="B224" s="59" t="s">
        <v>179</v>
      </c>
      <c r="C224" s="96">
        <v>220</v>
      </c>
      <c r="D224" s="69" t="s">
        <v>158</v>
      </c>
      <c r="E224" s="27" t="s">
        <v>188</v>
      </c>
    </row>
    <row r="225" spans="1:5" ht="18" x14ac:dyDescent="0.35">
      <c r="A225" s="68" t="s">
        <v>313</v>
      </c>
      <c r="B225" s="59"/>
      <c r="C225" s="78">
        <f>C159*C224*C222*10^-12/(Cr*10^-6)</f>
        <v>1.7101362812655483</v>
      </c>
      <c r="D225" s="69" t="s">
        <v>7</v>
      </c>
      <c r="E225" s="27"/>
    </row>
    <row r="226" spans="1:5" ht="15" x14ac:dyDescent="0.25">
      <c r="A226" s="68" t="s">
        <v>314</v>
      </c>
      <c r="B226" s="59"/>
      <c r="C226" s="78">
        <f>C217*Cr*10^-6/(C224*C222*10^-12)</f>
        <v>3.6363636363636362</v>
      </c>
      <c r="D226" s="69" t="s">
        <v>10</v>
      </c>
      <c r="E226" s="27"/>
    </row>
    <row r="227" spans="1:5" ht="15.75" thickBot="1" x14ac:dyDescent="0.3">
      <c r="A227" s="70" t="s">
        <v>315</v>
      </c>
      <c r="B227" s="71"/>
      <c r="C227" s="79">
        <f>C226*Nps</f>
        <v>141.81818181818181</v>
      </c>
      <c r="D227" s="72" t="s">
        <v>10</v>
      </c>
      <c r="E227" s="146"/>
    </row>
    <row r="228" spans="1:5" ht="15" x14ac:dyDescent="0.25">
      <c r="A228" s="57"/>
      <c r="B228" s="57"/>
      <c r="C228" s="57"/>
      <c r="D228" s="57"/>
    </row>
    <row r="229" spans="1:5" ht="15" x14ac:dyDescent="0.25">
      <c r="A229" s="57"/>
      <c r="B229" s="57"/>
      <c r="C229" s="57"/>
      <c r="D229" s="57"/>
    </row>
    <row r="230" spans="1:5" x14ac:dyDescent="0.15">
      <c r="D230"/>
    </row>
  </sheetData>
  <sheetProtection password="EE3D" sheet="1" objects="1" scenarios="1"/>
  <dataConsolidate/>
  <mergeCells count="37">
    <mergeCell ref="A30:D30"/>
    <mergeCell ref="A125:D125"/>
    <mergeCell ref="A39:D39"/>
    <mergeCell ref="A51:D51"/>
    <mergeCell ref="A60:D61"/>
    <mergeCell ref="A31:D31"/>
    <mergeCell ref="A46:D46"/>
    <mergeCell ref="A50:D50"/>
    <mergeCell ref="A52:D55"/>
    <mergeCell ref="A37:D37"/>
    <mergeCell ref="A90:D90"/>
    <mergeCell ref="A106:D106"/>
    <mergeCell ref="A110:D110"/>
    <mergeCell ref="A6:D6"/>
    <mergeCell ref="A23:D23"/>
    <mergeCell ref="A24:D24"/>
    <mergeCell ref="A7:D11"/>
    <mergeCell ref="A12:D16"/>
    <mergeCell ref="A18:D20"/>
    <mergeCell ref="A17:D17"/>
    <mergeCell ref="A1:D1"/>
    <mergeCell ref="B2:D2"/>
    <mergeCell ref="A3:D3"/>
    <mergeCell ref="C4:D4"/>
    <mergeCell ref="A5:D5"/>
    <mergeCell ref="A132:D132"/>
    <mergeCell ref="A136:D136"/>
    <mergeCell ref="A128:D128"/>
    <mergeCell ref="A114:D114"/>
    <mergeCell ref="A113:D113"/>
    <mergeCell ref="A119:D119"/>
    <mergeCell ref="E204:E205"/>
    <mergeCell ref="A175:D175"/>
    <mergeCell ref="A214:D214"/>
    <mergeCell ref="A142:D142"/>
    <mergeCell ref="A158:D158"/>
    <mergeCell ref="A196:D196"/>
  </mergeCells>
  <phoneticPr fontId="39"/>
  <conditionalFormatting sqref="C101">
    <cfRule type="containsText" dxfId="2" priority="1" operator="containsText" text="Yes">
      <formula>NOT(ISERROR(SEARCH("Yes",C101)))</formula>
    </cfRule>
    <cfRule type="containsText" dxfId="1" priority="2" operator="containsText" text="CAUTION">
      <formula>NOT(ISERROR(SEARCH("CAUTION",C101)))</formula>
    </cfRule>
  </conditionalFormatting>
  <dataValidations disablePrompts="1" xWindow="981" yWindow="727"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8" xr:uid="{00000000-0002-0000-0100-000001000000}">
      <formula1>100</formula1>
      <formula2>150</formula2>
    </dataValidation>
    <dataValidation type="decimal" operator="lessThanOrEqual" allowBlank="1" showErrorMessage="1" errorTitle="Maximum Vblk Ripple" error="Enter a value &lt; 20% of Vblk" promptTitle="Maximum Vblk Ripple" prompt="Enter the maximum allowable voltage ripple on the PFC output stage rail" sqref="C33" xr:uid="{00000000-0002-0000-0100-000002000000}">
      <formula1>0.1*Vblk</formula1>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1:C43" xr:uid="{00000000-0002-0000-0100-000003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5" xr:uid="{00000000-0002-0000-0100-000004000000}">
      <formula1>Vblk</formula1>
    </dataValidation>
    <dataValidation allowBlank="1" showErrorMessage="1" promptTitle="LLC Output Voltage" prompt="Enter required nominal output voltage of converter" sqref="C25" xr:uid="{00000000-0002-0000-0100-000005000000}"/>
    <dataValidation allowBlank="1" showErrorMessage="1" sqref="C27" xr:uid="{00000000-0002-0000-0100-000006000000}"/>
    <dataValidation allowBlank="1" showErrorMessage="1" promptTitle="Maximum Output Voltage Ripple" prompt="Enter the maximum output voltage ripple" sqref="C28" xr:uid="{00000000-0002-0000-0100-000007000000}"/>
    <dataValidation allowBlank="1" showErrorMessage="1" promptTitle="Maximum Output Power" prompt="Enter required maximum converter output power in Watts." sqref="C26" xr:uid="{00000000-0002-0000-0100-000008000000}"/>
    <dataValidation errorStyle="warning" allowBlank="1" showInputMessage="1" showErrorMessage="1" promptTitle="Ln Selected from Curves Shown" prompt="Enter Ln value to satisfy Attainable MG(PEAK) &gt; MG(max)" sqref="C56" xr:uid="{00000000-0002-0000-0100-000009000000}"/>
    <dataValidation errorStyle="warning" allowBlank="1" showInputMessage="1" showErrorMessage="1" promptTitle="Quality Factor Qe" prompt="Enter Qe value on selected Ln curve that would result in an Attainable MG(PEAK) &gt; MG(max)" sqref="C57" xr:uid="{00000000-0002-0000-0100-00000A000000}"/>
    <dataValidation type="decimal" errorStyle="warning" showErrorMessage="1" errorTitle="Cr value" error="Use a capacitor that is within 10% of the recommended value" promptTitle="Resonant Capacitor Value" prompt="Enter actual value of Resonant Capacitor used" sqref="C92" xr:uid="{00000000-0002-0000-0100-00000B000000}">
      <formula1>C91*0.9</formula1>
      <formula2>C91*1.1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4" xr:uid="{00000000-0002-0000-0100-00000C000000}">
      <formula1>C93*0.9</formula1>
      <formula2>C93*1.1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6" xr:uid="{00000000-0002-0000-0100-00000D000000}">
      <formula1>C95*0.9</formula1>
      <formula2>C95*1.1</formula2>
    </dataValidation>
    <dataValidation errorStyle="warning" allowBlank="1" showInputMessage="1" showErrorMessage="1" promptTitle="Normalized freq at Mg(max)" prompt="Enter the corresponding normalized frequency at Mg(max) shown on the Ln_Qe Gain curve above " sqref="C102" xr:uid="{00000000-0002-0000-0100-00000E000000}"/>
    <dataValidation errorStyle="warning" allowBlank="1" showInputMessage="1" showErrorMessage="1" promptTitle="Normalized freq at Mg(min)" prompt="Enter the corresponding normalized frequency at Mg(min) shown on the Ln_Qe Gain curve above " sqref="C103" xr:uid="{00000000-0002-0000-0100-00000F000000}"/>
    <dataValidation type="decimal" operator="lessThan" allowBlank="1" showInputMessage="1" showErrorMessage="1" error="Enter efficiency less than 1" sqref="C29" xr:uid="{00000000-0002-0000-0100-000010000000}">
      <formula1>1</formula1>
    </dataValidation>
    <dataValidation type="decimal" errorStyle="warning" operator="greaterThan" allowBlank="1" showInputMessage="1" showErrorMessage="1" error="Lower BW Resistance must be at least &gt; RBMTProgram_x000a_" sqref="C186" xr:uid="{00000000-0002-0000-0100-000011000000}">
      <formula1>C184</formula1>
    </dataValidation>
    <dataValidation allowBlank="1" showInputMessage="1" showErrorMessage="1" error="Initial Precharge Voltage must be within 0V to 1V" sqref="C206" xr:uid="{00000000-0002-0000-0100-000012000000}"/>
    <dataValidation allowBlank="1" showInputMessage="1" showErrorMessage="1" error="Burst Mode Threshold Voltage must be between 0.2V and 4V" sqref="C207 C199:C200" xr:uid="{00000000-0002-0000-0100-000013000000}"/>
    <dataValidation errorStyle="warning" allowBlank="1" showInputMessage="1" showErrorMessage="1" errorTitle="Max Working Voltage Range of VCR" error="To properly tune this parameter, please enter a number between 0 and 5.4_x000a_" sqref="C166 C168" xr:uid="{00000000-0002-0000-0100-000014000000}"/>
    <dataValidation type="decimal" allowBlank="1" showInputMessage="1" showErrorMessage="1" errorTitle="Max Working Voltage Range of VCR" error="To properly tune this parameter, please enter a number between 3 and 5.5_x000a_" sqref="C162" xr:uid="{00000000-0002-0000-0100-000015000000}">
      <formula1>3</formula1>
      <formula2>5.5</formula2>
    </dataValidation>
    <dataValidation type="decimal" allowBlank="1" showInputMessage="1" showErrorMessage="1" errorTitle="Iramp Contribution" error="To properly tune this parameter, please enter a number between 1V and 2V_x000a_" sqref="C163" xr:uid="{00000000-0002-0000-0100-000016000000}">
      <formula1>1</formula1>
      <formula2>2.5</formula2>
    </dataValidation>
    <dataValidation type="decimal" allowBlank="1" showInputMessage="1" showErrorMessage="1" error="Initial Precharge Voltage must be greater than Vssinit_min and less than 1 V" sqref="C203" xr:uid="{00000000-0002-0000-0100-000017000000}">
      <formula1>C202</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201</xdr:row>
                <xdr:rowOff>9525</xdr:rowOff>
              </from>
              <to>
                <xdr:col>4</xdr:col>
                <xdr:colOff>2324100</xdr:colOff>
                <xdr:row>201</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disablePrompts="1" xWindow="981" yWindow="727" count="2">
        <x14:dataValidation type="list" allowBlank="1" showInputMessage="1" showErrorMessage="1" xr:uid="{00000000-0002-0000-0100-000018000000}">
          <x14:formula1>
            <xm:f>'tables and calculations'!$A$219:$A$225</xm:f>
          </x14:formula1>
          <xm:sqref>C182</xm:sqref>
        </x14:dataValidation>
        <x14:dataValidation type="list" allowBlank="1" showInputMessage="1" showErrorMessage="1" xr:uid="{00000000-0002-0000-0100-000019000000}">
          <x14:formula1>
            <xm:f>'tables and calculations'!$A$206:$A$208</xm:f>
          </x14:formula1>
          <xm:sqref>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398"/>
  <sheetViews>
    <sheetView zoomScaleNormal="100" workbookViewId="0">
      <pane ySplit="7" topLeftCell="A248" activePane="bottomLeft" state="frozen"/>
      <selection activeCell="W1" sqref="W1"/>
      <selection pane="bottomLeft" activeCell="B253" sqref="B253"/>
    </sheetView>
  </sheetViews>
  <sheetFormatPr defaultRowHeight="13.5" x14ac:dyDescent="0.15"/>
  <cols>
    <col min="1" max="1" width="37.875" bestFit="1" customWidth="1"/>
    <col min="2" max="2" width="38.875" bestFit="1" customWidth="1"/>
    <col min="3" max="3" width="10.125" bestFit="1" customWidth="1"/>
    <col min="4" max="4" width="8.75" bestFit="1" customWidth="1"/>
    <col min="5" max="5" width="12.75" customWidth="1"/>
    <col min="6" max="6" width="17.5" bestFit="1" customWidth="1"/>
    <col min="7" max="7" width="10.125" bestFit="1" customWidth="1"/>
    <col min="8" max="8" width="10.5" bestFit="1" customWidth="1"/>
    <col min="9" max="10" width="12.75" customWidth="1"/>
    <col min="11" max="11" width="39.75" bestFit="1" customWidth="1"/>
    <col min="12" max="12" width="41.125" bestFit="1" customWidth="1"/>
    <col min="13" max="15" width="12.75" customWidth="1"/>
    <col min="16" max="16" width="39" bestFit="1" customWidth="1"/>
    <col min="17" max="65" width="12.75" customWidth="1"/>
  </cols>
  <sheetData>
    <row r="7" spans="2:65" x14ac:dyDescent="0.15">
      <c r="B7" s="6" t="s">
        <v>31</v>
      </c>
      <c r="C7" s="6" t="s">
        <v>129</v>
      </c>
      <c r="D7" s="6" t="s">
        <v>28</v>
      </c>
      <c r="F7" s="6" t="s">
        <v>31</v>
      </c>
      <c r="G7" s="6" t="s">
        <v>129</v>
      </c>
      <c r="H7" s="6" t="s">
        <v>28</v>
      </c>
      <c r="J7" s="6" t="s">
        <v>31</v>
      </c>
      <c r="K7" s="6" t="s">
        <v>129</v>
      </c>
      <c r="L7" s="6"/>
      <c r="M7" s="6" t="s">
        <v>28</v>
      </c>
      <c r="O7" s="6" t="s">
        <v>31</v>
      </c>
      <c r="P7" s="6" t="s">
        <v>129</v>
      </c>
      <c r="Q7" s="6" t="s">
        <v>28</v>
      </c>
      <c r="S7" s="6" t="s">
        <v>31</v>
      </c>
      <c r="T7" s="6" t="s">
        <v>129</v>
      </c>
      <c r="U7" s="6" t="s">
        <v>28</v>
      </c>
      <c r="W7" s="6" t="s">
        <v>31</v>
      </c>
      <c r="X7" s="6" t="s">
        <v>129</v>
      </c>
      <c r="Y7" s="6" t="s">
        <v>28</v>
      </c>
      <c r="AA7" s="6" t="s">
        <v>31</v>
      </c>
      <c r="AB7" s="6" t="s">
        <v>129</v>
      </c>
      <c r="AC7" s="6" t="s">
        <v>28</v>
      </c>
      <c r="AE7" s="6" t="s">
        <v>31</v>
      </c>
      <c r="AF7" s="6" t="s">
        <v>129</v>
      </c>
      <c r="AG7" s="6" t="s">
        <v>28</v>
      </c>
      <c r="AI7" s="6" t="s">
        <v>31</v>
      </c>
      <c r="AJ7" s="6" t="s">
        <v>129</v>
      </c>
      <c r="AK7" s="6" t="s">
        <v>28</v>
      </c>
      <c r="AM7" s="6" t="s">
        <v>31</v>
      </c>
      <c r="AN7" s="6" t="s">
        <v>129</v>
      </c>
      <c r="AO7" s="6" t="s">
        <v>28</v>
      </c>
      <c r="AQ7" s="6"/>
      <c r="AR7" s="6"/>
      <c r="AS7" s="6"/>
      <c r="AU7" s="6" t="s">
        <v>31</v>
      </c>
      <c r="AV7" s="6" t="s">
        <v>129</v>
      </c>
      <c r="AW7" s="6" t="s">
        <v>28</v>
      </c>
      <c r="AY7" s="6" t="s">
        <v>31</v>
      </c>
      <c r="AZ7" s="6" t="s">
        <v>129</v>
      </c>
      <c r="BA7" s="6" t="s">
        <v>28</v>
      </c>
      <c r="BC7" s="6" t="s">
        <v>31</v>
      </c>
      <c r="BD7" s="6" t="s">
        <v>129</v>
      </c>
      <c r="BE7" s="6" t="s">
        <v>28</v>
      </c>
      <c r="BG7" s="6" t="s">
        <v>31</v>
      </c>
      <c r="BH7" s="6" t="s">
        <v>129</v>
      </c>
      <c r="BI7" s="6" t="s">
        <v>28</v>
      </c>
      <c r="BK7" s="6" t="s">
        <v>31</v>
      </c>
      <c r="BL7" s="6" t="s">
        <v>129</v>
      </c>
      <c r="BM7" s="6" t="s">
        <v>28</v>
      </c>
    </row>
    <row r="8" spans="2:65" x14ac:dyDescent="0.1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x14ac:dyDescent="0.1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x14ac:dyDescent="0.1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x14ac:dyDescent="0.1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x14ac:dyDescent="0.1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x14ac:dyDescent="0.1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x14ac:dyDescent="0.1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x14ac:dyDescent="0.1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x14ac:dyDescent="0.1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x14ac:dyDescent="0.15">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x14ac:dyDescent="0.15">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x14ac:dyDescent="0.15">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x14ac:dyDescent="0.15">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x14ac:dyDescent="0.15">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x14ac:dyDescent="0.15">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x14ac:dyDescent="0.15">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x14ac:dyDescent="0.15">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x14ac:dyDescent="0.15">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x14ac:dyDescent="0.15">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x14ac:dyDescent="0.15">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x14ac:dyDescent="0.15">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x14ac:dyDescent="0.15">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x14ac:dyDescent="0.15">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x14ac:dyDescent="0.15">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x14ac:dyDescent="0.15">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x14ac:dyDescent="0.15">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x14ac:dyDescent="0.15">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x14ac:dyDescent="0.15">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x14ac:dyDescent="0.15">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x14ac:dyDescent="0.15">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x14ac:dyDescent="0.15">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x14ac:dyDescent="0.15">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x14ac:dyDescent="0.15">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x14ac:dyDescent="0.15">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x14ac:dyDescent="0.15">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x14ac:dyDescent="0.15">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x14ac:dyDescent="0.15">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x14ac:dyDescent="0.15">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x14ac:dyDescent="0.15">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x14ac:dyDescent="0.15">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x14ac:dyDescent="0.15">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x14ac:dyDescent="0.15">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x14ac:dyDescent="0.15">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x14ac:dyDescent="0.15">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x14ac:dyDescent="0.15">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x14ac:dyDescent="0.15">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x14ac:dyDescent="0.15">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x14ac:dyDescent="0.15">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x14ac:dyDescent="0.15">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x14ac:dyDescent="0.15">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x14ac:dyDescent="0.15">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x14ac:dyDescent="0.15">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x14ac:dyDescent="0.15">
      <c r="R60" t="s">
        <v>449</v>
      </c>
      <c r="S60" s="120">
        <f>Compensation!C16</f>
        <v>1.1000000000000001</v>
      </c>
      <c r="T60" t="e">
        <f>MIN(ABS(S66:S137-S60))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x14ac:dyDescent="0.15">
      <c r="R61" t="s">
        <v>450</v>
      </c>
      <c r="S61" t="e">
        <f>INDEX(S66:S137,MATCH(MIN(ABS(S66:S137-S60)),ABS(S66:S137-S60),0))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x14ac:dyDescent="0.15">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x14ac:dyDescent="0.15">
      <c r="A63" t="s">
        <v>116</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x14ac:dyDescent="0.15">
      <c r="X64" t="s">
        <v>46</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x14ac:dyDescent="0.15">
      <c r="A65" s="20" t="s">
        <v>30</v>
      </c>
      <c r="B65" s="20" t="s">
        <v>28</v>
      </c>
      <c r="C65" s="20" t="s">
        <v>29</v>
      </c>
      <c r="D65" s="20" t="s">
        <v>37</v>
      </c>
      <c r="E65" s="20" t="s">
        <v>38</v>
      </c>
      <c r="F65" s="20" t="s">
        <v>128</v>
      </c>
      <c r="G65" s="20" t="s">
        <v>39</v>
      </c>
      <c r="H65" s="20" t="s">
        <v>40</v>
      </c>
      <c r="I65" s="20" t="s">
        <v>41</v>
      </c>
      <c r="K65" s="20" t="s">
        <v>42</v>
      </c>
      <c r="M65" s="20" t="s">
        <v>43</v>
      </c>
      <c r="O65" s="20" t="s">
        <v>44</v>
      </c>
      <c r="S65" s="20" t="s">
        <v>45</v>
      </c>
      <c r="U65" s="21" t="s">
        <v>31</v>
      </c>
      <c r="V65" s="21" t="s">
        <v>32</v>
      </c>
      <c r="X65" s="20" t="s">
        <v>30</v>
      </c>
      <c r="Y65" s="20" t="s">
        <v>28</v>
      </c>
      <c r="Z65" s="20" t="s">
        <v>29</v>
      </c>
      <c r="AA65" s="20" t="s">
        <v>37</v>
      </c>
      <c r="AB65" s="20" t="s">
        <v>38</v>
      </c>
      <c r="AC65" s="20" t="s">
        <v>128</v>
      </c>
      <c r="AD65" s="20" t="s">
        <v>39</v>
      </c>
      <c r="AE65" s="20" t="s">
        <v>40</v>
      </c>
      <c r="AF65" s="20" t="s">
        <v>41</v>
      </c>
      <c r="AH65" s="20" t="s">
        <v>42</v>
      </c>
      <c r="AI65" s="20" t="s">
        <v>43</v>
      </c>
      <c r="AK65" s="20" t="s">
        <v>44</v>
      </c>
      <c r="AO65" s="20" t="s">
        <v>45</v>
      </c>
      <c r="AP65" s="20" t="s">
        <v>29</v>
      </c>
    </row>
    <row r="66" spans="1:44" s="20" customFormat="1" x14ac:dyDescent="0.15">
      <c r="A66" s="20">
        <f t="shared" ref="A66:A137" si="0">Qe_selected</f>
        <v>0.18</v>
      </c>
      <c r="B66" s="20">
        <f t="shared" ref="B66:B137" si="1">Ln_selected</f>
        <v>9.7100000000000009</v>
      </c>
      <c r="C66" s="20">
        <v>0</v>
      </c>
      <c r="D66" s="20">
        <f>C66^2</f>
        <v>0</v>
      </c>
      <c r="E66" s="20">
        <f>B66*D66</f>
        <v>0</v>
      </c>
      <c r="F66" s="20">
        <f>C66^2-1</f>
        <v>-1</v>
      </c>
      <c r="G66" s="20">
        <f>1</f>
        <v>1</v>
      </c>
      <c r="H66" s="20">
        <f>C66*B66*A66</f>
        <v>0</v>
      </c>
      <c r="I66" s="20" t="str">
        <f>COMPLEX(G66,H66,"j")</f>
        <v>1</v>
      </c>
      <c r="K66" s="20" t="str">
        <f>IMPRODUCT(I66,F66)</f>
        <v>-1</v>
      </c>
      <c r="M66" s="20" t="str">
        <f t="shared" ref="M66:M97" si="2">IMSUM(K66,E66)</f>
        <v>-1</v>
      </c>
      <c r="O66" s="20" t="str">
        <f t="shared" ref="O66:O97" si="3">IMDIV(E66,M66)</f>
        <v>0</v>
      </c>
      <c r="S66" s="20">
        <f>IMABS(O66)</f>
        <v>0</v>
      </c>
      <c r="U66" s="20">
        <f t="shared" ref="U66:U137" si="4">Mg_max</f>
        <v>1.7671874999999999</v>
      </c>
      <c r="V66" s="20">
        <f t="shared" ref="V66:V137" si="5">Mg_min</f>
        <v>1.0214285714285714</v>
      </c>
      <c r="X66" s="20">
        <v>1E-3</v>
      </c>
      <c r="Y66" s="20">
        <f t="shared" ref="Y66:Y137" si="6">Ln_selected</f>
        <v>9.7100000000000009</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1.1000000000000001</v>
      </c>
    </row>
    <row r="67" spans="1:44" s="20" customFormat="1" x14ac:dyDescent="0.15">
      <c r="A67" s="20">
        <f t="shared" si="0"/>
        <v>0.18</v>
      </c>
      <c r="B67" s="20">
        <f t="shared" si="1"/>
        <v>9.7100000000000009</v>
      </c>
      <c r="C67" s="20">
        <f>C66+0.05</f>
        <v>0.05</v>
      </c>
      <c r="D67" s="20">
        <f t="shared" ref="D67:D130" si="7">C67^2</f>
        <v>2.5000000000000005E-3</v>
      </c>
      <c r="E67" s="20">
        <f t="shared" ref="E67:E130" si="8">B67*D67</f>
        <v>2.4275000000000008E-2</v>
      </c>
      <c r="F67" s="20">
        <f t="shared" ref="F67:F130" si="9">C67^2-1</f>
        <v>-0.99750000000000005</v>
      </c>
      <c r="G67" s="20">
        <f>1</f>
        <v>1</v>
      </c>
      <c r="H67" s="20">
        <f t="shared" ref="H67:H130" si="10">C67*B67*A67</f>
        <v>8.7390000000000009E-2</v>
      </c>
      <c r="I67" s="20" t="str">
        <f t="shared" ref="I67:I130" si="11">COMPLEX(G67,H67,"j")</f>
        <v>1+0.08739j</v>
      </c>
      <c r="K67" s="20" t="str">
        <f t="shared" ref="K67:K130" si="12">IMPRODUCT(I67,F67)</f>
        <v>-0.9975-0.087171525j</v>
      </c>
      <c r="M67" s="20" t="str">
        <f t="shared" si="2"/>
        <v>-0.973225-0.087171525j</v>
      </c>
      <c r="O67" s="20" t="str">
        <f t="shared" si="3"/>
        <v>-0.0247443273353672+0.00221634334190259j</v>
      </c>
      <c r="S67" s="20">
        <f t="shared" ref="S67:S130" si="13">IMABS(O67)</f>
        <v>2.4843387713614995E-2</v>
      </c>
      <c r="U67" s="20">
        <f t="shared" si="4"/>
        <v>1.7671874999999999</v>
      </c>
      <c r="V67" s="20">
        <f t="shared" si="5"/>
        <v>1.0214285714285714</v>
      </c>
      <c r="X67" s="20">
        <f>X66</f>
        <v>1E-3</v>
      </c>
      <c r="Y67" s="20">
        <f t="shared" si="6"/>
        <v>9.7100000000000009</v>
      </c>
      <c r="Z67" s="20">
        <f>Z66+0.05</f>
        <v>0.05</v>
      </c>
      <c r="AA67" s="20">
        <f t="shared" ref="AA67:AA130" si="14">Z67^2</f>
        <v>2.5000000000000005E-3</v>
      </c>
      <c r="AB67" s="20">
        <f t="shared" ref="AB67:AB130" si="15">Y67*AA67</f>
        <v>2.4275000000000008E-2</v>
      </c>
      <c r="AC67" s="20">
        <f t="shared" ref="AC67:AC130" si="16">Z67^2-1</f>
        <v>-0.99750000000000005</v>
      </c>
      <c r="AD67" s="20">
        <v>1</v>
      </c>
      <c r="AE67" s="20">
        <f t="shared" ref="AE67:AE130" si="17">Z67*Y67*X67</f>
        <v>4.8550000000000004E-4</v>
      </c>
      <c r="AF67" s="20" t="str">
        <f t="shared" ref="AF67:AF130" si="18">COMPLEX(AD67,AE67,"j")</f>
        <v>1+0.0004855j</v>
      </c>
      <c r="AH67" s="20" t="str">
        <f t="shared" ref="AH67:AH130" si="19">IMPRODUCT(AF67,AC67)</f>
        <v>-0.9975-0.00048428625j</v>
      </c>
      <c r="AI67" s="20" t="str">
        <f t="shared" ref="AI67:AI130" si="20">IMSUM(AH67,AB67)</f>
        <v>-0.973225-0.00048428625j</v>
      </c>
      <c r="AK67" s="20" t="str">
        <f t="shared" ref="AK67:AK130" si="21">IMDIV(AB67,AI67)</f>
        <v>-0.0249428384896978+0.0000124117996522196j</v>
      </c>
      <c r="AO67" s="20">
        <f t="shared" ref="AO67:AO130" si="22">IMABS(AK67)</f>
        <v>2.4942841577813877E-2</v>
      </c>
      <c r="AP67" s="20">
        <v>1</v>
      </c>
      <c r="AR67" s="20">
        <f>Compensation!$C$16</f>
        <v>1.1000000000000001</v>
      </c>
    </row>
    <row r="68" spans="1:44" s="20" customFormat="1" x14ac:dyDescent="0.15">
      <c r="A68" s="20">
        <f t="shared" si="0"/>
        <v>0.18</v>
      </c>
      <c r="B68" s="20">
        <f t="shared" si="1"/>
        <v>9.7100000000000009</v>
      </c>
      <c r="C68" s="20">
        <f t="shared" ref="C68:C131" si="23">C67+0.05</f>
        <v>0.1</v>
      </c>
      <c r="D68" s="20">
        <f t="shared" si="7"/>
        <v>1.0000000000000002E-2</v>
      </c>
      <c r="E68" s="20">
        <f t="shared" si="8"/>
        <v>9.7100000000000034E-2</v>
      </c>
      <c r="F68" s="20">
        <f t="shared" si="9"/>
        <v>-0.99</v>
      </c>
      <c r="G68" s="20">
        <f>1</f>
        <v>1</v>
      </c>
      <c r="H68" s="20">
        <f t="shared" si="10"/>
        <v>0.17478000000000002</v>
      </c>
      <c r="I68" s="20" t="str">
        <f t="shared" si="11"/>
        <v>1+0.17478j</v>
      </c>
      <c r="K68" s="20" t="str">
        <f t="shared" si="12"/>
        <v>-0.99-0.1730322j</v>
      </c>
      <c r="M68" s="20" t="str">
        <f t="shared" si="2"/>
        <v>-0.8929-0.1730322j</v>
      </c>
      <c r="O68" s="20" t="str">
        <f t="shared" si="3"/>
        <v>-0.104810788215352+0.0203109432955947j</v>
      </c>
      <c r="S68" s="20">
        <f t="shared" si="13"/>
        <v>0.10676064698136778</v>
      </c>
      <c r="U68" s="20">
        <f t="shared" si="4"/>
        <v>1.7671874999999999</v>
      </c>
      <c r="V68" s="20">
        <f t="shared" si="5"/>
        <v>1.0214285714285714</v>
      </c>
      <c r="X68" s="20">
        <f t="shared" ref="X68:X131" si="24">X67</f>
        <v>1E-3</v>
      </c>
      <c r="Y68" s="20">
        <f t="shared" si="6"/>
        <v>9.7100000000000009</v>
      </c>
      <c r="Z68" s="20">
        <f t="shared" ref="Z68:Z131" si="25">Z67+0.05</f>
        <v>0.1</v>
      </c>
      <c r="AA68" s="20">
        <f t="shared" si="14"/>
        <v>1.0000000000000002E-2</v>
      </c>
      <c r="AB68" s="20">
        <f t="shared" si="15"/>
        <v>9.7100000000000034E-2</v>
      </c>
      <c r="AC68" s="20">
        <f t="shared" si="16"/>
        <v>-0.99</v>
      </c>
      <c r="AD68" s="20">
        <v>1</v>
      </c>
      <c r="AE68" s="20">
        <f t="shared" si="17"/>
        <v>9.7100000000000007E-4</v>
      </c>
      <c r="AF68" s="20" t="str">
        <f t="shared" si="18"/>
        <v>1+0.000971j</v>
      </c>
      <c r="AH68" s="20" t="str">
        <f t="shared" si="19"/>
        <v>-0.99-0.00096129j</v>
      </c>
      <c r="AI68" s="20" t="str">
        <f t="shared" si="20"/>
        <v>-0.8929-0.00096129j</v>
      </c>
      <c r="AK68" s="20" t="str">
        <f t="shared" si="21"/>
        <v>-0.108746654111444+0.000117075900023283j</v>
      </c>
      <c r="AO68" s="20">
        <f t="shared" si="22"/>
        <v>0.10874671713298018</v>
      </c>
      <c r="AP68" s="20">
        <v>2</v>
      </c>
      <c r="AR68" s="20">
        <f>Compensation!$C$16</f>
        <v>1.1000000000000001</v>
      </c>
    </row>
    <row r="69" spans="1:44" s="20" customFormat="1" x14ac:dyDescent="0.15">
      <c r="A69" s="20">
        <f t="shared" si="0"/>
        <v>0.18</v>
      </c>
      <c r="B69" s="20">
        <f t="shared" si="1"/>
        <v>9.7100000000000009</v>
      </c>
      <c r="C69" s="20">
        <f t="shared" si="23"/>
        <v>0.15000000000000002</v>
      </c>
      <c r="D69" s="20">
        <f t="shared" si="7"/>
        <v>2.2500000000000006E-2</v>
      </c>
      <c r="E69" s="20">
        <f t="shared" si="8"/>
        <v>0.21847500000000009</v>
      </c>
      <c r="F69" s="20">
        <f t="shared" si="9"/>
        <v>-0.97750000000000004</v>
      </c>
      <c r="G69" s="20">
        <f>1</f>
        <v>1</v>
      </c>
      <c r="H69" s="20">
        <f t="shared" si="10"/>
        <v>0.26217000000000007</v>
      </c>
      <c r="I69" s="20" t="str">
        <f t="shared" si="11"/>
        <v>1+0.26217j</v>
      </c>
      <c r="K69" s="20" t="str">
        <f t="shared" si="12"/>
        <v>-0.9775-0.256271175j</v>
      </c>
      <c r="M69" s="20" t="str">
        <f t="shared" si="2"/>
        <v>-0.759025-0.256271175j</v>
      </c>
      <c r="O69" s="20" t="str">
        <f t="shared" si="3"/>
        <v>-0.258382006625137+0.0872380493879406j</v>
      </c>
      <c r="S69" s="20">
        <f t="shared" si="13"/>
        <v>0.27271182337523447</v>
      </c>
      <c r="U69" s="20">
        <f t="shared" si="4"/>
        <v>1.7671874999999999</v>
      </c>
      <c r="V69" s="20">
        <f t="shared" si="5"/>
        <v>1.0214285714285714</v>
      </c>
      <c r="X69" s="20">
        <f t="shared" si="24"/>
        <v>1E-3</v>
      </c>
      <c r="Y69" s="20">
        <f t="shared" si="6"/>
        <v>9.7100000000000009</v>
      </c>
      <c r="Z69" s="20">
        <f t="shared" si="25"/>
        <v>0.15000000000000002</v>
      </c>
      <c r="AA69" s="20">
        <f t="shared" si="14"/>
        <v>2.2500000000000006E-2</v>
      </c>
      <c r="AB69" s="20">
        <f t="shared" si="15"/>
        <v>0.21847500000000009</v>
      </c>
      <c r="AC69" s="20">
        <f t="shared" si="16"/>
        <v>-0.97750000000000004</v>
      </c>
      <c r="AD69" s="20">
        <v>1</v>
      </c>
      <c r="AE69" s="20">
        <f t="shared" si="17"/>
        <v>1.4565000000000003E-3</v>
      </c>
      <c r="AF69" s="20" t="str">
        <f t="shared" si="18"/>
        <v>1+0.0014565j</v>
      </c>
      <c r="AH69" s="20" t="str">
        <f t="shared" si="19"/>
        <v>-0.9775-0.00142372875j</v>
      </c>
      <c r="AI69" s="20" t="str">
        <f t="shared" si="20"/>
        <v>-0.759025-0.00142372875j</v>
      </c>
      <c r="AK69" s="20" t="str">
        <f t="shared" si="21"/>
        <v>-0.287835356312812+0.00053990246968024j</v>
      </c>
      <c r="AO69" s="20">
        <f t="shared" si="22"/>
        <v>0.28783586266898742</v>
      </c>
      <c r="AP69" s="20">
        <v>3</v>
      </c>
      <c r="AR69" s="20">
        <f>Compensation!$C$16</f>
        <v>1.1000000000000001</v>
      </c>
    </row>
    <row r="70" spans="1:44" s="20" customFormat="1" x14ac:dyDescent="0.15">
      <c r="A70" s="20">
        <f t="shared" si="0"/>
        <v>0.18</v>
      </c>
      <c r="B70" s="20">
        <f t="shared" si="1"/>
        <v>9.7100000000000009</v>
      </c>
      <c r="C70" s="20">
        <f t="shared" si="23"/>
        <v>0.2</v>
      </c>
      <c r="D70" s="20">
        <f t="shared" si="7"/>
        <v>4.0000000000000008E-2</v>
      </c>
      <c r="E70" s="20">
        <f t="shared" si="8"/>
        <v>0.38840000000000013</v>
      </c>
      <c r="F70" s="20">
        <f t="shared" si="9"/>
        <v>-0.96</v>
      </c>
      <c r="G70" s="20">
        <f>1</f>
        <v>1</v>
      </c>
      <c r="H70" s="20">
        <f t="shared" si="10"/>
        <v>0.34956000000000004</v>
      </c>
      <c r="I70" s="20" t="str">
        <f t="shared" si="11"/>
        <v>1+0.34956j</v>
      </c>
      <c r="K70" s="20" t="str">
        <f t="shared" si="12"/>
        <v>-0.96-0.3355776j</v>
      </c>
      <c r="M70" s="20" t="str">
        <f t="shared" si="2"/>
        <v>-0.5716-0.3355776j</v>
      </c>
      <c r="O70" s="20" t="str">
        <f t="shared" si="3"/>
        <v>-0.505326178186592+0.296669254886334j</v>
      </c>
      <c r="S70" s="20">
        <f t="shared" si="13"/>
        <v>0.58597542026562843</v>
      </c>
      <c r="U70" s="20">
        <f t="shared" si="4"/>
        <v>1.7671874999999999</v>
      </c>
      <c r="V70" s="20">
        <f t="shared" si="5"/>
        <v>1.0214285714285714</v>
      </c>
      <c r="X70" s="20">
        <f t="shared" si="24"/>
        <v>1E-3</v>
      </c>
      <c r="Y70" s="20">
        <f t="shared" si="6"/>
        <v>9.7100000000000009</v>
      </c>
      <c r="Z70" s="20">
        <f t="shared" si="25"/>
        <v>0.2</v>
      </c>
      <c r="AA70" s="20">
        <f t="shared" si="14"/>
        <v>4.0000000000000008E-2</v>
      </c>
      <c r="AB70" s="20">
        <f t="shared" si="15"/>
        <v>0.38840000000000013</v>
      </c>
      <c r="AC70" s="20">
        <f t="shared" si="16"/>
        <v>-0.96</v>
      </c>
      <c r="AD70" s="20">
        <v>1</v>
      </c>
      <c r="AE70" s="20">
        <f t="shared" si="17"/>
        <v>1.9420000000000001E-3</v>
      </c>
      <c r="AF70" s="20" t="str">
        <f t="shared" si="18"/>
        <v>1+0.001942j</v>
      </c>
      <c r="AH70" s="20" t="str">
        <f t="shared" si="19"/>
        <v>-0.96-0.00186432j</v>
      </c>
      <c r="AI70" s="20" t="str">
        <f t="shared" si="20"/>
        <v>-0.5716-0.00186432j</v>
      </c>
      <c r="AK70" s="20" t="str">
        <f t="shared" si="21"/>
        <v>-0.679488922809897+0.00221620851744742j</v>
      </c>
      <c r="AO70" s="20">
        <f t="shared" si="22"/>
        <v>0.67949253697266376</v>
      </c>
      <c r="AP70" s="20">
        <v>4</v>
      </c>
      <c r="AR70" s="20">
        <f>Compensation!$C$16</f>
        <v>1.1000000000000001</v>
      </c>
    </row>
    <row r="71" spans="1:44" s="20" customFormat="1" x14ac:dyDescent="0.15">
      <c r="A71" s="20">
        <f t="shared" si="0"/>
        <v>0.18</v>
      </c>
      <c r="B71" s="20">
        <f t="shared" si="1"/>
        <v>9.7100000000000009</v>
      </c>
      <c r="C71" s="20">
        <f t="shared" si="23"/>
        <v>0.25</v>
      </c>
      <c r="D71" s="20">
        <f t="shared" si="7"/>
        <v>6.25E-2</v>
      </c>
      <c r="E71" s="20">
        <f t="shared" si="8"/>
        <v>0.60687500000000005</v>
      </c>
      <c r="F71" s="20">
        <f t="shared" si="9"/>
        <v>-0.9375</v>
      </c>
      <c r="G71" s="20">
        <f>1</f>
        <v>1</v>
      </c>
      <c r="H71" s="20">
        <f t="shared" si="10"/>
        <v>0.43695000000000001</v>
      </c>
      <c r="I71" s="20" t="str">
        <f t="shared" si="11"/>
        <v>1+0.43695j</v>
      </c>
      <c r="K71" s="20" t="str">
        <f t="shared" si="12"/>
        <v>-0.9375-0.409640625j</v>
      </c>
      <c r="M71" s="20" t="str">
        <f t="shared" si="2"/>
        <v>-0.330625-0.409640625j</v>
      </c>
      <c r="O71" s="20" t="str">
        <f t="shared" si="3"/>
        <v>-0.724051870648539+0.897092055424988j</v>
      </c>
      <c r="S71" s="20">
        <f t="shared" si="13"/>
        <v>1.1528335817871886</v>
      </c>
      <c r="U71" s="20">
        <f t="shared" si="4"/>
        <v>1.7671874999999999</v>
      </c>
      <c r="V71" s="20">
        <f t="shared" si="5"/>
        <v>1.0214285714285714</v>
      </c>
      <c r="X71" s="20">
        <f t="shared" si="24"/>
        <v>1E-3</v>
      </c>
      <c r="Y71" s="20">
        <f t="shared" si="6"/>
        <v>9.7100000000000009</v>
      </c>
      <c r="Z71" s="20">
        <f t="shared" si="25"/>
        <v>0.25</v>
      </c>
      <c r="AA71" s="20">
        <f t="shared" si="14"/>
        <v>6.25E-2</v>
      </c>
      <c r="AB71" s="20">
        <f t="shared" si="15"/>
        <v>0.60687500000000005</v>
      </c>
      <c r="AC71" s="20">
        <f t="shared" si="16"/>
        <v>-0.9375</v>
      </c>
      <c r="AD71" s="20">
        <v>1</v>
      </c>
      <c r="AE71" s="20">
        <f t="shared" si="17"/>
        <v>2.4275000000000004E-3</v>
      </c>
      <c r="AF71" s="20" t="str">
        <f t="shared" si="18"/>
        <v>1+0.0024275j</v>
      </c>
      <c r="AH71" s="20" t="str">
        <f t="shared" si="19"/>
        <v>-0.9375-0.00227578125j</v>
      </c>
      <c r="AI71" s="20" t="str">
        <f t="shared" si="20"/>
        <v>-0.330625-0.00227578125j</v>
      </c>
      <c r="AK71" s="20" t="str">
        <f t="shared" si="21"/>
        <v>-1.83545178973949+0.0126339108306028j</v>
      </c>
      <c r="AO71" s="20">
        <f t="shared" si="22"/>
        <v>1.8354952705362038</v>
      </c>
      <c r="AP71" s="20">
        <v>5</v>
      </c>
      <c r="AR71" s="20">
        <f>Compensation!$C$16</f>
        <v>1.1000000000000001</v>
      </c>
    </row>
    <row r="72" spans="1:44" s="20" customFormat="1" x14ac:dyDescent="0.15">
      <c r="A72" s="20">
        <f t="shared" si="0"/>
        <v>0.18</v>
      </c>
      <c r="B72" s="20">
        <f t="shared" si="1"/>
        <v>9.7100000000000009</v>
      </c>
      <c r="C72" s="20">
        <f t="shared" si="23"/>
        <v>0.3</v>
      </c>
      <c r="D72" s="20">
        <f t="shared" si="7"/>
        <v>0.09</v>
      </c>
      <c r="E72" s="20">
        <f t="shared" si="8"/>
        <v>0.87390000000000001</v>
      </c>
      <c r="F72" s="20">
        <f t="shared" si="9"/>
        <v>-0.91</v>
      </c>
      <c r="G72" s="20">
        <f>1</f>
        <v>1</v>
      </c>
      <c r="H72" s="20">
        <f t="shared" si="10"/>
        <v>0.52434000000000003</v>
      </c>
      <c r="I72" s="20" t="str">
        <f t="shared" si="11"/>
        <v>1+0.52434j</v>
      </c>
      <c r="K72" s="20" t="str">
        <f t="shared" si="12"/>
        <v>-0.91-0.4771494j</v>
      </c>
      <c r="M72" s="20" t="str">
        <f t="shared" si="2"/>
        <v>-0.0361-0.4771494j</v>
      </c>
      <c r="O72" s="20" t="str">
        <f t="shared" si="3"/>
        <v>-0.137778460870415+1.82107783759673j</v>
      </c>
      <c r="S72" s="20">
        <f t="shared" si="13"/>
        <v>1.8262823973487241</v>
      </c>
      <c r="U72" s="20">
        <f t="shared" si="4"/>
        <v>1.7671874999999999</v>
      </c>
      <c r="V72" s="20">
        <f t="shared" si="5"/>
        <v>1.0214285714285714</v>
      </c>
      <c r="X72" s="20">
        <f t="shared" si="24"/>
        <v>1E-3</v>
      </c>
      <c r="Y72" s="20">
        <f t="shared" si="6"/>
        <v>9.7100000000000009</v>
      </c>
      <c r="Z72" s="20">
        <f t="shared" si="25"/>
        <v>0.3</v>
      </c>
      <c r="AA72" s="20">
        <f t="shared" si="14"/>
        <v>0.09</v>
      </c>
      <c r="AB72" s="20">
        <f t="shared" si="15"/>
        <v>0.87390000000000001</v>
      </c>
      <c r="AC72" s="20">
        <f t="shared" si="16"/>
        <v>-0.91</v>
      </c>
      <c r="AD72" s="20">
        <v>1</v>
      </c>
      <c r="AE72" s="20">
        <f t="shared" si="17"/>
        <v>2.9130000000000002E-3</v>
      </c>
      <c r="AF72" s="20" t="str">
        <f t="shared" si="18"/>
        <v>1+0.002913j</v>
      </c>
      <c r="AH72" s="20" t="str">
        <f t="shared" si="19"/>
        <v>-0.91-0.00265083j</v>
      </c>
      <c r="AI72" s="20" t="str">
        <f t="shared" si="20"/>
        <v>-0.0361-0.00265083j</v>
      </c>
      <c r="AK72" s="20" t="str">
        <f t="shared" si="21"/>
        <v>-24.0779282032819+1.76804693681733j</v>
      </c>
      <c r="AO72" s="20">
        <f t="shared" si="22"/>
        <v>24.14275494911853</v>
      </c>
      <c r="AP72" s="20">
        <v>6</v>
      </c>
      <c r="AR72" s="20">
        <f>Compensation!$C$16</f>
        <v>1.1000000000000001</v>
      </c>
    </row>
    <row r="73" spans="1:44" s="20" customFormat="1" x14ac:dyDescent="0.15">
      <c r="A73" s="20">
        <f t="shared" si="0"/>
        <v>0.18</v>
      </c>
      <c r="B73" s="20">
        <f t="shared" si="1"/>
        <v>9.7100000000000009</v>
      </c>
      <c r="C73" s="20">
        <f t="shared" si="23"/>
        <v>0.35</v>
      </c>
      <c r="D73" s="20">
        <f t="shared" si="7"/>
        <v>0.12249999999999998</v>
      </c>
      <c r="E73" s="20">
        <f t="shared" si="8"/>
        <v>1.1894749999999998</v>
      </c>
      <c r="F73" s="20">
        <f t="shared" si="9"/>
        <v>-0.87750000000000006</v>
      </c>
      <c r="G73" s="20">
        <f>1</f>
        <v>1</v>
      </c>
      <c r="H73" s="20">
        <f t="shared" si="10"/>
        <v>0.61173</v>
      </c>
      <c r="I73" s="20" t="str">
        <f t="shared" si="11"/>
        <v>1+0.61173j</v>
      </c>
      <c r="K73" s="20" t="str">
        <f t="shared" si="12"/>
        <v>-0.8775-0.536793075j</v>
      </c>
      <c r="M73" s="20" t="str">
        <f t="shared" si="2"/>
        <v>0.311975-0.536793075j</v>
      </c>
      <c r="O73" s="20" t="str">
        <f t="shared" si="3"/>
        <v>0.962672715017062+1.65640210565785j</v>
      </c>
      <c r="S73" s="20">
        <f t="shared" si="13"/>
        <v>1.9158305488393488</v>
      </c>
      <c r="U73" s="20">
        <f t="shared" si="4"/>
        <v>1.7671874999999999</v>
      </c>
      <c r="V73" s="20">
        <f t="shared" si="5"/>
        <v>1.0214285714285714</v>
      </c>
      <c r="X73" s="20">
        <f t="shared" si="24"/>
        <v>1E-3</v>
      </c>
      <c r="Y73" s="20">
        <f t="shared" si="6"/>
        <v>9.7100000000000009</v>
      </c>
      <c r="Z73" s="20">
        <f t="shared" si="25"/>
        <v>0.35</v>
      </c>
      <c r="AA73" s="20">
        <f t="shared" si="14"/>
        <v>0.12249999999999998</v>
      </c>
      <c r="AB73" s="20">
        <f t="shared" si="15"/>
        <v>1.1894749999999998</v>
      </c>
      <c r="AC73" s="20">
        <f t="shared" si="16"/>
        <v>-0.87750000000000006</v>
      </c>
      <c r="AD73" s="20">
        <v>1</v>
      </c>
      <c r="AE73" s="20">
        <f t="shared" si="17"/>
        <v>3.3985000000000005E-3</v>
      </c>
      <c r="AF73" s="20" t="str">
        <f t="shared" si="18"/>
        <v>1+0.0033985j</v>
      </c>
      <c r="AH73" s="20" t="str">
        <f t="shared" si="19"/>
        <v>-0.8775-0.00298218375j</v>
      </c>
      <c r="AI73" s="20" t="str">
        <f t="shared" si="20"/>
        <v>0.311975-0.00298218375j</v>
      </c>
      <c r="AK73" s="20" t="str">
        <f t="shared" si="21"/>
        <v>3.81237702122429+0.0364426918873899j</v>
      </c>
      <c r="AO73" s="20">
        <f t="shared" si="22"/>
        <v>3.8125511959514706</v>
      </c>
      <c r="AP73" s="20">
        <v>7</v>
      </c>
      <c r="AR73" s="20">
        <f>Compensation!$C$16</f>
        <v>1.1000000000000001</v>
      </c>
    </row>
    <row r="74" spans="1:44" s="20" customFormat="1" x14ac:dyDescent="0.15">
      <c r="A74" s="20">
        <f t="shared" si="0"/>
        <v>0.18</v>
      </c>
      <c r="B74" s="20">
        <f t="shared" si="1"/>
        <v>9.7100000000000009</v>
      </c>
      <c r="C74" s="20">
        <f t="shared" si="23"/>
        <v>0.39999999999999997</v>
      </c>
      <c r="D74" s="20">
        <f t="shared" si="7"/>
        <v>0.15999999999999998</v>
      </c>
      <c r="E74" s="20">
        <f t="shared" si="8"/>
        <v>1.5535999999999999</v>
      </c>
      <c r="F74" s="20">
        <f t="shared" si="9"/>
        <v>-0.84000000000000008</v>
      </c>
      <c r="G74" s="20">
        <f>1</f>
        <v>1</v>
      </c>
      <c r="H74" s="20">
        <f t="shared" si="10"/>
        <v>0.69911999999999996</v>
      </c>
      <c r="I74" s="20" t="str">
        <f t="shared" si="11"/>
        <v>1+0.69912j</v>
      </c>
      <c r="K74" s="20" t="str">
        <f t="shared" si="12"/>
        <v>-0.84-0.5872608j</v>
      </c>
      <c r="M74" s="20" t="str">
        <f t="shared" si="2"/>
        <v>0.7136-0.5872608j</v>
      </c>
      <c r="O74" s="20" t="str">
        <f t="shared" si="3"/>
        <v>1.29803148463444+1.06822170416425j</v>
      </c>
      <c r="S74" s="20">
        <f t="shared" si="13"/>
        <v>1.6810661332469532</v>
      </c>
      <c r="U74" s="20">
        <f t="shared" si="4"/>
        <v>1.7671874999999999</v>
      </c>
      <c r="V74" s="20">
        <f t="shared" si="5"/>
        <v>1.0214285714285714</v>
      </c>
      <c r="X74" s="20">
        <f t="shared" si="24"/>
        <v>1E-3</v>
      </c>
      <c r="Y74" s="20">
        <f t="shared" si="6"/>
        <v>9.7100000000000009</v>
      </c>
      <c r="Z74" s="20">
        <f t="shared" si="25"/>
        <v>0.39999999999999997</v>
      </c>
      <c r="AA74" s="20">
        <f t="shared" si="14"/>
        <v>0.15999999999999998</v>
      </c>
      <c r="AB74" s="20">
        <f t="shared" si="15"/>
        <v>1.5535999999999999</v>
      </c>
      <c r="AC74" s="20">
        <f t="shared" si="16"/>
        <v>-0.84000000000000008</v>
      </c>
      <c r="AD74" s="20">
        <v>1</v>
      </c>
      <c r="AE74" s="20">
        <f t="shared" si="17"/>
        <v>3.8839999999999999E-3</v>
      </c>
      <c r="AF74" s="20" t="str">
        <f t="shared" si="18"/>
        <v>1+0.003884j</v>
      </c>
      <c r="AH74" s="20" t="str">
        <f t="shared" si="19"/>
        <v>-0.84-0.00326256j</v>
      </c>
      <c r="AI74" s="20" t="str">
        <f t="shared" si="20"/>
        <v>0.7136-0.00326256j</v>
      </c>
      <c r="AK74" s="20" t="str">
        <f t="shared" si="21"/>
        <v>2.17708453738+0.00995357192863578j</v>
      </c>
      <c r="AO74" s="20">
        <f t="shared" si="22"/>
        <v>2.1771072909926206</v>
      </c>
      <c r="AP74" s="20">
        <v>8</v>
      </c>
      <c r="AR74" s="20">
        <f>Compensation!$C$16</f>
        <v>1.1000000000000001</v>
      </c>
    </row>
    <row r="75" spans="1:44" s="20" customFormat="1" x14ac:dyDescent="0.15">
      <c r="A75" s="20">
        <f t="shared" si="0"/>
        <v>0.18</v>
      </c>
      <c r="B75" s="20">
        <f t="shared" si="1"/>
        <v>9.7100000000000009</v>
      </c>
      <c r="C75" s="20">
        <f t="shared" si="23"/>
        <v>0.44999999999999996</v>
      </c>
      <c r="D75" s="20">
        <f t="shared" si="7"/>
        <v>0.20249999999999996</v>
      </c>
      <c r="E75" s="20">
        <f t="shared" si="8"/>
        <v>1.9662749999999998</v>
      </c>
      <c r="F75" s="20">
        <f t="shared" si="9"/>
        <v>-0.7975000000000001</v>
      </c>
      <c r="G75" s="20">
        <f>1</f>
        <v>1</v>
      </c>
      <c r="H75" s="20">
        <f t="shared" si="10"/>
        <v>0.78651000000000004</v>
      </c>
      <c r="I75" s="20" t="str">
        <f t="shared" si="11"/>
        <v>1+0.78651j</v>
      </c>
      <c r="K75" s="20" t="str">
        <f t="shared" si="12"/>
        <v>-0.7975-0.627241725j</v>
      </c>
      <c r="M75" s="20" t="str">
        <f t="shared" si="2"/>
        <v>1.168775-0.627241725j</v>
      </c>
      <c r="O75" s="20" t="str">
        <f t="shared" si="3"/>
        <v>1.30615284352372+0.700967733469207j</v>
      </c>
      <c r="S75" s="20">
        <f t="shared" si="13"/>
        <v>1.4823599475195142</v>
      </c>
      <c r="U75" s="20">
        <f t="shared" si="4"/>
        <v>1.7671874999999999</v>
      </c>
      <c r="V75" s="20">
        <f t="shared" si="5"/>
        <v>1.0214285714285714</v>
      </c>
      <c r="X75" s="20">
        <f t="shared" si="24"/>
        <v>1E-3</v>
      </c>
      <c r="Y75" s="20">
        <f t="shared" si="6"/>
        <v>9.7100000000000009</v>
      </c>
      <c r="Z75" s="20">
        <f t="shared" si="25"/>
        <v>0.44999999999999996</v>
      </c>
      <c r="AA75" s="20">
        <f t="shared" si="14"/>
        <v>0.20249999999999996</v>
      </c>
      <c r="AB75" s="20">
        <f t="shared" si="15"/>
        <v>1.9662749999999998</v>
      </c>
      <c r="AC75" s="20">
        <f t="shared" si="16"/>
        <v>-0.7975000000000001</v>
      </c>
      <c r="AD75" s="20">
        <v>1</v>
      </c>
      <c r="AE75" s="20">
        <f t="shared" si="17"/>
        <v>4.3695000000000001E-3</v>
      </c>
      <c r="AF75" s="20" t="str">
        <f t="shared" si="18"/>
        <v>1+0.0043695j</v>
      </c>
      <c r="AH75" s="20" t="str">
        <f t="shared" si="19"/>
        <v>-0.7975-0.00348467625j</v>
      </c>
      <c r="AI75" s="20" t="str">
        <f t="shared" si="20"/>
        <v>1.168775-0.00348467625j</v>
      </c>
      <c r="AK75" s="20" t="str">
        <f t="shared" si="21"/>
        <v>1.68232339118214+0.00501580917291339j</v>
      </c>
      <c r="AO75" s="20">
        <f t="shared" si="22"/>
        <v>1.6823308684263731</v>
      </c>
      <c r="AP75" s="20">
        <v>9</v>
      </c>
      <c r="AR75" s="20">
        <f>Compensation!$C$16</f>
        <v>1.1000000000000001</v>
      </c>
    </row>
    <row r="76" spans="1:44" s="20" customFormat="1" x14ac:dyDescent="0.15">
      <c r="A76" s="20">
        <f t="shared" si="0"/>
        <v>0.18</v>
      </c>
      <c r="B76" s="20">
        <f t="shared" si="1"/>
        <v>9.7100000000000009</v>
      </c>
      <c r="C76" s="20">
        <f t="shared" si="23"/>
        <v>0.49999999999999994</v>
      </c>
      <c r="D76" s="20">
        <f t="shared" si="7"/>
        <v>0.24999999999999994</v>
      </c>
      <c r="E76" s="20">
        <f t="shared" si="8"/>
        <v>2.4274999999999998</v>
      </c>
      <c r="F76" s="20">
        <f t="shared" si="9"/>
        <v>-0.75</v>
      </c>
      <c r="G76" s="20">
        <f>1</f>
        <v>1</v>
      </c>
      <c r="H76" s="20">
        <f t="shared" si="10"/>
        <v>0.8738999999999999</v>
      </c>
      <c r="I76" s="20" t="str">
        <f t="shared" si="11"/>
        <v>1+0.8739j</v>
      </c>
      <c r="K76" s="20" t="str">
        <f t="shared" si="12"/>
        <v>-0.75-0.655425j</v>
      </c>
      <c r="M76" s="20" t="str">
        <f t="shared" si="2"/>
        <v>1.6775-0.655425j</v>
      </c>
      <c r="O76" s="20" t="str">
        <f t="shared" si="3"/>
        <v>1.25544027886282+0.490519788240635j</v>
      </c>
      <c r="S76" s="20">
        <f t="shared" si="13"/>
        <v>1.3478649622446579</v>
      </c>
      <c r="U76" s="20">
        <f t="shared" si="4"/>
        <v>1.7671874999999999</v>
      </c>
      <c r="V76" s="20">
        <f t="shared" si="5"/>
        <v>1.0214285714285714</v>
      </c>
      <c r="X76" s="20">
        <f t="shared" si="24"/>
        <v>1E-3</v>
      </c>
      <c r="Y76" s="20">
        <f t="shared" si="6"/>
        <v>9.7100000000000009</v>
      </c>
      <c r="Z76" s="20">
        <f t="shared" si="25"/>
        <v>0.49999999999999994</v>
      </c>
      <c r="AA76" s="20">
        <f t="shared" si="14"/>
        <v>0.24999999999999994</v>
      </c>
      <c r="AB76" s="20">
        <f t="shared" si="15"/>
        <v>2.4274999999999998</v>
      </c>
      <c r="AC76" s="20">
        <f t="shared" si="16"/>
        <v>-0.75</v>
      </c>
      <c r="AD76" s="20">
        <v>1</v>
      </c>
      <c r="AE76" s="20">
        <f t="shared" si="17"/>
        <v>4.8549999999999999E-3</v>
      </c>
      <c r="AF76" s="20" t="str">
        <f t="shared" si="18"/>
        <v>1+0.004855j</v>
      </c>
      <c r="AH76" s="20" t="str">
        <f t="shared" si="19"/>
        <v>-0.75-0.00364125j</v>
      </c>
      <c r="AI76" s="20" t="str">
        <f t="shared" si="20"/>
        <v>1.6775-0.00364125j</v>
      </c>
      <c r="AK76" s="20" t="str">
        <f t="shared" si="21"/>
        <v>1.44708707150326+0.00314110628859092j</v>
      </c>
      <c r="AO76" s="20">
        <f t="shared" si="22"/>
        <v>1.4470904806060321</v>
      </c>
      <c r="AP76" s="20">
        <v>10</v>
      </c>
      <c r="AR76" s="20">
        <f>Compensation!$C$16</f>
        <v>1.1000000000000001</v>
      </c>
    </row>
    <row r="77" spans="1:44" s="20" customFormat="1" x14ac:dyDescent="0.15">
      <c r="A77" s="20">
        <f t="shared" si="0"/>
        <v>0.18</v>
      </c>
      <c r="B77" s="20">
        <f t="shared" si="1"/>
        <v>9.7100000000000009</v>
      </c>
      <c r="C77" s="20">
        <f t="shared" si="23"/>
        <v>0.54999999999999993</v>
      </c>
      <c r="D77" s="20">
        <f t="shared" si="7"/>
        <v>0.30249999999999994</v>
      </c>
      <c r="E77" s="20">
        <f t="shared" si="8"/>
        <v>2.9372749999999996</v>
      </c>
      <c r="F77" s="20">
        <f t="shared" si="9"/>
        <v>-0.69750000000000001</v>
      </c>
      <c r="G77" s="20">
        <f>1</f>
        <v>1</v>
      </c>
      <c r="H77" s="20">
        <f t="shared" si="10"/>
        <v>0.96128999999999987</v>
      </c>
      <c r="I77" s="20" t="str">
        <f t="shared" si="11"/>
        <v>1+0.96129j</v>
      </c>
      <c r="K77" s="20" t="str">
        <f t="shared" si="12"/>
        <v>-0.6975-0.670499775j</v>
      </c>
      <c r="M77" s="20" t="str">
        <f t="shared" si="2"/>
        <v>2.239775-0.670499775j</v>
      </c>
      <c r="O77" s="20" t="str">
        <f t="shared" si="3"/>
        <v>1.20355655658373+0.360297083586149j</v>
      </c>
      <c r="S77" s="20">
        <f t="shared" si="13"/>
        <v>1.2563289272067129</v>
      </c>
      <c r="U77" s="20">
        <f t="shared" si="4"/>
        <v>1.7671874999999999</v>
      </c>
      <c r="V77" s="20">
        <f t="shared" si="5"/>
        <v>1.0214285714285714</v>
      </c>
      <c r="X77" s="20">
        <f t="shared" si="24"/>
        <v>1E-3</v>
      </c>
      <c r="Y77" s="20">
        <f t="shared" si="6"/>
        <v>9.7100000000000009</v>
      </c>
      <c r="Z77" s="20">
        <f t="shared" si="25"/>
        <v>0.54999999999999993</v>
      </c>
      <c r="AA77" s="20">
        <f t="shared" si="14"/>
        <v>0.30249999999999994</v>
      </c>
      <c r="AB77" s="20">
        <f t="shared" si="15"/>
        <v>2.9372749999999996</v>
      </c>
      <c r="AC77" s="20">
        <f t="shared" si="16"/>
        <v>-0.69750000000000001</v>
      </c>
      <c r="AD77" s="20">
        <v>1</v>
      </c>
      <c r="AE77" s="20">
        <f t="shared" si="17"/>
        <v>5.3404999999999998E-3</v>
      </c>
      <c r="AF77" s="20" t="str">
        <f t="shared" si="18"/>
        <v>1+0.0053405j</v>
      </c>
      <c r="AH77" s="20" t="str">
        <f t="shared" si="19"/>
        <v>-0.6975-0.00372499875j</v>
      </c>
      <c r="AI77" s="20" t="str">
        <f t="shared" si="20"/>
        <v>2.239775-0.00372499875j</v>
      </c>
      <c r="AK77" s="20" t="str">
        <f t="shared" si="21"/>
        <v>1.31141158182521+0.00218102555079613j</v>
      </c>
      <c r="AO77" s="20">
        <f t="shared" si="22"/>
        <v>1.3114133954698468</v>
      </c>
      <c r="AP77" s="20">
        <v>11</v>
      </c>
      <c r="AR77" s="20">
        <f>Compensation!$C$16</f>
        <v>1.1000000000000001</v>
      </c>
    </row>
    <row r="78" spans="1:44" s="20" customFormat="1" x14ac:dyDescent="0.15">
      <c r="A78" s="20">
        <f t="shared" si="0"/>
        <v>0.18</v>
      </c>
      <c r="B78" s="20">
        <f t="shared" si="1"/>
        <v>9.7100000000000009</v>
      </c>
      <c r="C78" s="20">
        <f t="shared" si="23"/>
        <v>0.6</v>
      </c>
      <c r="D78" s="20">
        <f t="shared" si="7"/>
        <v>0.36</v>
      </c>
      <c r="E78" s="20">
        <f t="shared" si="8"/>
        <v>3.4956</v>
      </c>
      <c r="F78" s="20">
        <f t="shared" si="9"/>
        <v>-0.64</v>
      </c>
      <c r="G78" s="20">
        <f>1</f>
        <v>1</v>
      </c>
      <c r="H78" s="20">
        <f t="shared" si="10"/>
        <v>1.0486800000000001</v>
      </c>
      <c r="I78" s="20" t="str">
        <f t="shared" si="11"/>
        <v>1+1.04868j</v>
      </c>
      <c r="K78" s="20" t="str">
        <f t="shared" si="12"/>
        <v>-0.64-0.6711552j</v>
      </c>
      <c r="M78" s="20" t="str">
        <f t="shared" si="2"/>
        <v>2.8556-0.6711552j</v>
      </c>
      <c r="O78" s="20" t="str">
        <f t="shared" si="3"/>
        <v>1.16004074323793+0.272645810700378j</v>
      </c>
      <c r="S78" s="20">
        <f t="shared" si="13"/>
        <v>1.1916502272330063</v>
      </c>
      <c r="U78" s="20">
        <f t="shared" si="4"/>
        <v>1.7671874999999999</v>
      </c>
      <c r="V78" s="20">
        <f t="shared" si="5"/>
        <v>1.0214285714285714</v>
      </c>
      <c r="X78" s="20">
        <f t="shared" si="24"/>
        <v>1E-3</v>
      </c>
      <c r="Y78" s="20">
        <f t="shared" si="6"/>
        <v>9.7100000000000009</v>
      </c>
      <c r="Z78" s="20">
        <f t="shared" si="25"/>
        <v>0.6</v>
      </c>
      <c r="AA78" s="20">
        <f t="shared" si="14"/>
        <v>0.36</v>
      </c>
      <c r="AB78" s="20">
        <f t="shared" si="15"/>
        <v>3.4956</v>
      </c>
      <c r="AC78" s="20">
        <f t="shared" si="16"/>
        <v>-0.64</v>
      </c>
      <c r="AD78" s="20">
        <v>1</v>
      </c>
      <c r="AE78" s="20">
        <f t="shared" si="17"/>
        <v>5.8260000000000004E-3</v>
      </c>
      <c r="AF78" s="20" t="str">
        <f t="shared" si="18"/>
        <v>1+0.005826j</v>
      </c>
      <c r="AH78" s="20" t="str">
        <f t="shared" si="19"/>
        <v>-0.64-0.00372864j</v>
      </c>
      <c r="AI78" s="20" t="str">
        <f t="shared" si="20"/>
        <v>2.8556-0.00372864j</v>
      </c>
      <c r="AK78" s="20" t="str">
        <f t="shared" si="21"/>
        <v>1.22411893831847+0.00159836771192456j</v>
      </c>
      <c r="AO78" s="20">
        <f t="shared" si="22"/>
        <v>1.2241199818356372</v>
      </c>
      <c r="AP78" s="20">
        <v>12</v>
      </c>
      <c r="AR78" s="20">
        <f>Compensation!$C$16</f>
        <v>1.1000000000000001</v>
      </c>
    </row>
    <row r="79" spans="1:44" s="20" customFormat="1" x14ac:dyDescent="0.15">
      <c r="A79" s="20">
        <f t="shared" si="0"/>
        <v>0.18</v>
      </c>
      <c r="B79" s="20">
        <f t="shared" si="1"/>
        <v>9.7100000000000009</v>
      </c>
      <c r="C79" s="20">
        <f t="shared" si="23"/>
        <v>0.65</v>
      </c>
      <c r="D79" s="20">
        <f t="shared" si="7"/>
        <v>0.42250000000000004</v>
      </c>
      <c r="E79" s="20">
        <f t="shared" si="8"/>
        <v>4.102475000000001</v>
      </c>
      <c r="F79" s="20">
        <f t="shared" si="9"/>
        <v>-0.5774999999999999</v>
      </c>
      <c r="G79" s="20">
        <f>1</f>
        <v>1</v>
      </c>
      <c r="H79" s="20">
        <f t="shared" si="10"/>
        <v>1.1360700000000001</v>
      </c>
      <c r="I79" s="20" t="str">
        <f t="shared" si="11"/>
        <v>1+1.13607j</v>
      </c>
      <c r="K79" s="20" t="str">
        <f t="shared" si="12"/>
        <v>-0.5775-0.656080425j</v>
      </c>
      <c r="M79" s="20" t="str">
        <f t="shared" si="2"/>
        <v>3.524975-0.656080425j</v>
      </c>
      <c r="O79" s="20" t="str">
        <f t="shared" si="3"/>
        <v>1.12486350646534+0.209363450063836j</v>
      </c>
      <c r="S79" s="20">
        <f t="shared" si="13"/>
        <v>1.144181350311275</v>
      </c>
      <c r="U79" s="20">
        <f t="shared" si="4"/>
        <v>1.7671874999999999</v>
      </c>
      <c r="V79" s="20">
        <f t="shared" si="5"/>
        <v>1.0214285714285714</v>
      </c>
      <c r="X79" s="20">
        <f t="shared" si="24"/>
        <v>1E-3</v>
      </c>
      <c r="Y79" s="20">
        <f t="shared" si="6"/>
        <v>9.7100000000000009</v>
      </c>
      <c r="Z79" s="20">
        <f t="shared" si="25"/>
        <v>0.65</v>
      </c>
      <c r="AA79" s="20">
        <f t="shared" si="14"/>
        <v>0.42250000000000004</v>
      </c>
      <c r="AB79" s="20">
        <f t="shared" si="15"/>
        <v>4.102475000000001</v>
      </c>
      <c r="AC79" s="20">
        <f t="shared" si="16"/>
        <v>-0.5774999999999999</v>
      </c>
      <c r="AD79" s="20">
        <v>1</v>
      </c>
      <c r="AE79" s="20">
        <f t="shared" si="17"/>
        <v>6.3115000000000003E-3</v>
      </c>
      <c r="AF79" s="20" t="str">
        <f t="shared" si="18"/>
        <v>1+0.0063115j</v>
      </c>
      <c r="AH79" s="20" t="str">
        <f t="shared" si="19"/>
        <v>-0.5775-0.00364489125j</v>
      </c>
      <c r="AI79" s="20" t="str">
        <f t="shared" si="20"/>
        <v>3.524975-0.00364489125j</v>
      </c>
      <c r="AK79" s="20" t="str">
        <f t="shared" si="21"/>
        <v>1.16382970479434+0.00120342206894942j</v>
      </c>
      <c r="AO79" s="20">
        <f t="shared" si="22"/>
        <v>1.1638303269748371</v>
      </c>
      <c r="AP79" s="20">
        <v>13</v>
      </c>
      <c r="AR79" s="20">
        <f>Compensation!$C$16</f>
        <v>1.1000000000000001</v>
      </c>
    </row>
    <row r="80" spans="1:44" s="20" customFormat="1" x14ac:dyDescent="0.15">
      <c r="A80" s="20">
        <f t="shared" si="0"/>
        <v>0.18</v>
      </c>
      <c r="B80" s="20">
        <f t="shared" si="1"/>
        <v>9.7100000000000009</v>
      </c>
      <c r="C80" s="20">
        <f t="shared" si="23"/>
        <v>0.70000000000000007</v>
      </c>
      <c r="D80" s="20">
        <f t="shared" si="7"/>
        <v>0.4900000000000001</v>
      </c>
      <c r="E80" s="20">
        <f t="shared" si="8"/>
        <v>4.7579000000000011</v>
      </c>
      <c r="F80" s="20">
        <f t="shared" si="9"/>
        <v>-0.5099999999999999</v>
      </c>
      <c r="G80" s="20">
        <f>1</f>
        <v>1</v>
      </c>
      <c r="H80" s="20">
        <f t="shared" si="10"/>
        <v>1.2234600000000002</v>
      </c>
      <c r="I80" s="20" t="str">
        <f t="shared" si="11"/>
        <v>1+1.22346j</v>
      </c>
      <c r="K80" s="20" t="str">
        <f t="shared" si="12"/>
        <v>-0.51-0.6239646j</v>
      </c>
      <c r="M80" s="20" t="str">
        <f t="shared" si="2"/>
        <v>4.2479-0.6239646j</v>
      </c>
      <c r="O80" s="20" t="str">
        <f t="shared" si="3"/>
        <v>1.09640330396129+0.161048247132674j</v>
      </c>
      <c r="S80" s="20">
        <f t="shared" si="13"/>
        <v>1.1081681924878279</v>
      </c>
      <c r="U80" s="20">
        <f t="shared" si="4"/>
        <v>1.7671874999999999</v>
      </c>
      <c r="V80" s="20">
        <f t="shared" si="5"/>
        <v>1.0214285714285714</v>
      </c>
      <c r="X80" s="20">
        <f t="shared" si="24"/>
        <v>1E-3</v>
      </c>
      <c r="Y80" s="20">
        <f t="shared" si="6"/>
        <v>9.7100000000000009</v>
      </c>
      <c r="Z80" s="20">
        <f t="shared" si="25"/>
        <v>0.70000000000000007</v>
      </c>
      <c r="AA80" s="20">
        <f t="shared" si="14"/>
        <v>0.4900000000000001</v>
      </c>
      <c r="AB80" s="20">
        <f t="shared" si="15"/>
        <v>4.7579000000000011</v>
      </c>
      <c r="AC80" s="20">
        <f t="shared" si="16"/>
        <v>-0.5099999999999999</v>
      </c>
      <c r="AD80" s="20">
        <v>1</v>
      </c>
      <c r="AE80" s="20">
        <f t="shared" si="17"/>
        <v>6.7970000000000018E-3</v>
      </c>
      <c r="AF80" s="20" t="str">
        <f t="shared" si="18"/>
        <v>1+0.006797j</v>
      </c>
      <c r="AH80" s="20" t="str">
        <f t="shared" si="19"/>
        <v>-0.51-0.00346647j</v>
      </c>
      <c r="AI80" s="20" t="str">
        <f t="shared" si="20"/>
        <v>4.2479-0.00346647j</v>
      </c>
      <c r="AK80" s="20" t="str">
        <f t="shared" si="21"/>
        <v>1.12005857755367+0.000914016209734803j</v>
      </c>
      <c r="AO80" s="20">
        <f t="shared" si="22"/>
        <v>1.120058950491974</v>
      </c>
      <c r="AP80" s="20">
        <v>14</v>
      </c>
      <c r="AR80" s="20">
        <f>Compensation!$C$16</f>
        <v>1.1000000000000001</v>
      </c>
    </row>
    <row r="81" spans="1:44" s="20" customFormat="1" x14ac:dyDescent="0.15">
      <c r="A81" s="20">
        <f t="shared" si="0"/>
        <v>0.18</v>
      </c>
      <c r="B81" s="20">
        <f t="shared" si="1"/>
        <v>9.7100000000000009</v>
      </c>
      <c r="C81" s="20">
        <f t="shared" si="23"/>
        <v>0.75000000000000011</v>
      </c>
      <c r="D81" s="20">
        <f t="shared" si="7"/>
        <v>0.56250000000000022</v>
      </c>
      <c r="E81" s="20">
        <f t="shared" si="8"/>
        <v>5.4618750000000027</v>
      </c>
      <c r="F81" s="20">
        <f t="shared" si="9"/>
        <v>-0.43749999999999978</v>
      </c>
      <c r="G81" s="20">
        <f>1</f>
        <v>1</v>
      </c>
      <c r="H81" s="20">
        <f t="shared" si="10"/>
        <v>1.3108500000000003</v>
      </c>
      <c r="I81" s="20" t="str">
        <f t="shared" si="11"/>
        <v>1+1.31085j</v>
      </c>
      <c r="K81" s="20" t="str">
        <f t="shared" si="12"/>
        <v>-0.4375-0.573496875j</v>
      </c>
      <c r="M81" s="20" t="str">
        <f t="shared" si="2"/>
        <v>5.024375-0.573496875j</v>
      </c>
      <c r="O81" s="20" t="str">
        <f t="shared" si="3"/>
        <v>1.07309457822876+0.122486157421299j</v>
      </c>
      <c r="S81" s="20">
        <f t="shared" si="13"/>
        <v>1.0800624206886358</v>
      </c>
      <c r="U81" s="20">
        <f t="shared" si="4"/>
        <v>1.7671874999999999</v>
      </c>
      <c r="V81" s="20">
        <f t="shared" si="5"/>
        <v>1.0214285714285714</v>
      </c>
      <c r="X81" s="20">
        <f t="shared" si="24"/>
        <v>1E-3</v>
      </c>
      <c r="Y81" s="20">
        <f t="shared" si="6"/>
        <v>9.7100000000000009</v>
      </c>
      <c r="Z81" s="20">
        <f t="shared" si="25"/>
        <v>0.75000000000000011</v>
      </c>
      <c r="AA81" s="20">
        <f t="shared" si="14"/>
        <v>0.56250000000000022</v>
      </c>
      <c r="AB81" s="20">
        <f t="shared" si="15"/>
        <v>5.4618750000000027</v>
      </c>
      <c r="AC81" s="20">
        <f t="shared" si="16"/>
        <v>-0.43749999999999978</v>
      </c>
      <c r="AD81" s="20">
        <v>1</v>
      </c>
      <c r="AE81" s="20">
        <f t="shared" si="17"/>
        <v>7.2825000000000016E-3</v>
      </c>
      <c r="AF81" s="20" t="str">
        <f t="shared" si="18"/>
        <v>1+0.0072825j</v>
      </c>
      <c r="AH81" s="20" t="str">
        <f t="shared" si="19"/>
        <v>-0.4375-0.00318609375j</v>
      </c>
      <c r="AI81" s="20" t="str">
        <f t="shared" si="20"/>
        <v>5.024375-0.00318609375j</v>
      </c>
      <c r="AK81" s="20" t="str">
        <f t="shared" si="21"/>
        <v>1.0870750697719+0.000689344064800311j</v>
      </c>
      <c r="AO81" s="20">
        <f t="shared" si="22"/>
        <v>1.0870752883378505</v>
      </c>
      <c r="AP81" s="20">
        <v>15</v>
      </c>
      <c r="AR81" s="20">
        <f>Compensation!$C$16</f>
        <v>1.1000000000000001</v>
      </c>
    </row>
    <row r="82" spans="1:44" s="20" customFormat="1" x14ac:dyDescent="0.15">
      <c r="A82" s="20">
        <f t="shared" si="0"/>
        <v>0.18</v>
      </c>
      <c r="B82" s="20">
        <f t="shared" si="1"/>
        <v>9.7100000000000009</v>
      </c>
      <c r="C82" s="20">
        <f t="shared" si="23"/>
        <v>0.80000000000000016</v>
      </c>
      <c r="D82" s="20">
        <f t="shared" si="7"/>
        <v>0.64000000000000024</v>
      </c>
      <c r="E82" s="20">
        <f t="shared" si="8"/>
        <v>6.214400000000003</v>
      </c>
      <c r="F82" s="20">
        <f t="shared" si="9"/>
        <v>-0.35999999999999976</v>
      </c>
      <c r="G82" s="20">
        <f>1</f>
        <v>1</v>
      </c>
      <c r="H82" s="20">
        <f t="shared" si="10"/>
        <v>1.3982400000000004</v>
      </c>
      <c r="I82" s="20" t="str">
        <f t="shared" si="11"/>
        <v>1+1.39824j</v>
      </c>
      <c r="K82" s="20" t="str">
        <f t="shared" si="12"/>
        <v>-0.36-0.5033664j</v>
      </c>
      <c r="M82" s="20" t="str">
        <f t="shared" si="2"/>
        <v>5.8544-0.5033664j</v>
      </c>
      <c r="O82" s="20" t="str">
        <f t="shared" si="3"/>
        <v>1.05370249417949+0.090598256211764j</v>
      </c>
      <c r="S82" s="20">
        <f t="shared" si="13"/>
        <v>1.057590180679024</v>
      </c>
      <c r="U82" s="20">
        <f t="shared" si="4"/>
        <v>1.7671874999999999</v>
      </c>
      <c r="V82" s="20">
        <f t="shared" si="5"/>
        <v>1.0214285714285714</v>
      </c>
      <c r="X82" s="20">
        <f t="shared" si="24"/>
        <v>1E-3</v>
      </c>
      <c r="Y82" s="20">
        <f t="shared" si="6"/>
        <v>9.7100000000000009</v>
      </c>
      <c r="Z82" s="20">
        <f t="shared" si="25"/>
        <v>0.80000000000000016</v>
      </c>
      <c r="AA82" s="20">
        <f t="shared" si="14"/>
        <v>0.64000000000000024</v>
      </c>
      <c r="AB82" s="20">
        <f t="shared" si="15"/>
        <v>6.214400000000003</v>
      </c>
      <c r="AC82" s="20">
        <f t="shared" si="16"/>
        <v>-0.35999999999999976</v>
      </c>
      <c r="AD82" s="20">
        <v>1</v>
      </c>
      <c r="AE82" s="20">
        <f t="shared" si="17"/>
        <v>7.7680000000000023E-3</v>
      </c>
      <c r="AF82" s="20" t="str">
        <f t="shared" si="18"/>
        <v>1+0.007768j</v>
      </c>
      <c r="AH82" s="20" t="str">
        <f t="shared" si="19"/>
        <v>-0.36-0.00279648j</v>
      </c>
      <c r="AI82" s="20" t="str">
        <f t="shared" si="20"/>
        <v>5.8544-0.00279648j</v>
      </c>
      <c r="AK82" s="20" t="str">
        <f t="shared" si="21"/>
        <v>1.06149196878593+0.000507044455600995j</v>
      </c>
      <c r="AO82" s="20">
        <f t="shared" si="22"/>
        <v>1.0614920898862648</v>
      </c>
      <c r="AP82" s="20">
        <v>16</v>
      </c>
      <c r="AR82" s="20">
        <f>Compensation!$C$16</f>
        <v>1.1000000000000001</v>
      </c>
    </row>
    <row r="83" spans="1:44" s="20" customFormat="1" x14ac:dyDescent="0.15">
      <c r="A83" s="20">
        <f t="shared" si="0"/>
        <v>0.18</v>
      </c>
      <c r="B83" s="20">
        <f t="shared" si="1"/>
        <v>9.7100000000000009</v>
      </c>
      <c r="C83" s="20">
        <f t="shared" si="23"/>
        <v>0.8500000000000002</v>
      </c>
      <c r="D83" s="20">
        <f t="shared" si="7"/>
        <v>0.72250000000000036</v>
      </c>
      <c r="E83" s="20">
        <f t="shared" si="8"/>
        <v>7.0154750000000039</v>
      </c>
      <c r="F83" s="20">
        <f t="shared" si="9"/>
        <v>-0.27749999999999964</v>
      </c>
      <c r="G83" s="20">
        <f>1</f>
        <v>1</v>
      </c>
      <c r="H83" s="20">
        <f t="shared" si="10"/>
        <v>1.4856300000000005</v>
      </c>
      <c r="I83" s="20" t="str">
        <f t="shared" si="11"/>
        <v>1+1.48563j</v>
      </c>
      <c r="K83" s="20" t="str">
        <f t="shared" si="12"/>
        <v>-0.2775-0.412262324999999j</v>
      </c>
      <c r="M83" s="20" t="str">
        <f t="shared" si="2"/>
        <v>6.737975-0.412262324999999j</v>
      </c>
      <c r="O83" s="20" t="str">
        <f t="shared" si="3"/>
        <v>1.03730124788941+0.0634671728791351j</v>
      </c>
      <c r="S83" s="20">
        <f t="shared" si="13"/>
        <v>1.0392410504335348</v>
      </c>
      <c r="U83" s="20">
        <f t="shared" si="4"/>
        <v>1.7671874999999999</v>
      </c>
      <c r="V83" s="20">
        <f t="shared" si="5"/>
        <v>1.0214285714285714</v>
      </c>
      <c r="X83" s="20">
        <f t="shared" si="24"/>
        <v>1E-3</v>
      </c>
      <c r="Y83" s="20">
        <f t="shared" si="6"/>
        <v>9.7100000000000009</v>
      </c>
      <c r="Z83" s="20">
        <f t="shared" si="25"/>
        <v>0.8500000000000002</v>
      </c>
      <c r="AA83" s="20">
        <f t="shared" si="14"/>
        <v>0.72250000000000036</v>
      </c>
      <c r="AB83" s="20">
        <f t="shared" si="15"/>
        <v>7.0154750000000039</v>
      </c>
      <c r="AC83" s="20">
        <f t="shared" si="16"/>
        <v>-0.27749999999999964</v>
      </c>
      <c r="AD83" s="20">
        <v>1</v>
      </c>
      <c r="AE83" s="20">
        <f t="shared" si="17"/>
        <v>8.2535000000000022E-3</v>
      </c>
      <c r="AF83" s="20" t="str">
        <f t="shared" si="18"/>
        <v>1+0.0082535j</v>
      </c>
      <c r="AH83" s="20" t="str">
        <f t="shared" si="19"/>
        <v>-0.2775-0.00229034625j</v>
      </c>
      <c r="AI83" s="20" t="str">
        <f t="shared" si="20"/>
        <v>6.737975-0.00229034625j</v>
      </c>
      <c r="AK83" s="20" t="str">
        <f t="shared" si="21"/>
        <v>1.04118436019892+0.00035391533731429j</v>
      </c>
      <c r="AO83" s="20">
        <f t="shared" si="22"/>
        <v>1.0411844203496805</v>
      </c>
      <c r="AP83" s="20">
        <v>17</v>
      </c>
      <c r="AR83" s="20">
        <f>Compensation!$C$16</f>
        <v>1.1000000000000001</v>
      </c>
    </row>
    <row r="84" spans="1:44" s="20" customFormat="1" x14ac:dyDescent="0.15">
      <c r="A84" s="20">
        <f t="shared" si="0"/>
        <v>0.18</v>
      </c>
      <c r="B84" s="20">
        <f t="shared" si="1"/>
        <v>9.7100000000000009</v>
      </c>
      <c r="C84" s="20">
        <f t="shared" si="23"/>
        <v>0.90000000000000024</v>
      </c>
      <c r="D84" s="20">
        <f t="shared" si="7"/>
        <v>0.81000000000000039</v>
      </c>
      <c r="E84" s="20">
        <f t="shared" si="8"/>
        <v>7.8651000000000044</v>
      </c>
      <c r="F84" s="20">
        <f t="shared" si="9"/>
        <v>-0.18999999999999961</v>
      </c>
      <c r="G84" s="20">
        <f>1</f>
        <v>1</v>
      </c>
      <c r="H84" s="20">
        <f t="shared" si="10"/>
        <v>1.5730200000000003</v>
      </c>
      <c r="I84" s="20" t="str">
        <f t="shared" si="11"/>
        <v>1+1.57302j</v>
      </c>
      <c r="K84" s="20" t="str">
        <f t="shared" si="12"/>
        <v>-0.19-0.298873799999999j</v>
      </c>
      <c r="M84" s="20" t="str">
        <f t="shared" si="2"/>
        <v>7.6751-0.298873799999999j</v>
      </c>
      <c r="O84" s="20" t="str">
        <f t="shared" si="3"/>
        <v>1.02320381356141+0.0398442771994616j</v>
      </c>
      <c r="S84" s="20">
        <f t="shared" si="13"/>
        <v>1.0239793017987036</v>
      </c>
      <c r="U84" s="20">
        <f t="shared" si="4"/>
        <v>1.7671874999999999</v>
      </c>
      <c r="V84" s="20">
        <f t="shared" si="5"/>
        <v>1.0214285714285714</v>
      </c>
      <c r="X84" s="20">
        <f t="shared" si="24"/>
        <v>1E-3</v>
      </c>
      <c r="Y84" s="20">
        <f t="shared" si="6"/>
        <v>9.7100000000000009</v>
      </c>
      <c r="Z84" s="20">
        <f t="shared" si="25"/>
        <v>0.90000000000000024</v>
      </c>
      <c r="AA84" s="20">
        <f t="shared" si="14"/>
        <v>0.81000000000000039</v>
      </c>
      <c r="AB84" s="20">
        <f t="shared" si="15"/>
        <v>7.8651000000000044</v>
      </c>
      <c r="AC84" s="20">
        <f t="shared" si="16"/>
        <v>-0.18999999999999961</v>
      </c>
      <c r="AD84" s="20">
        <v>1</v>
      </c>
      <c r="AE84" s="20">
        <f t="shared" si="17"/>
        <v>8.739000000000002E-3</v>
      </c>
      <c r="AF84" s="20" t="str">
        <f t="shared" si="18"/>
        <v>1+0.008739j</v>
      </c>
      <c r="AH84" s="20" t="str">
        <f t="shared" si="19"/>
        <v>-0.19-0.00166041j</v>
      </c>
      <c r="AI84" s="20" t="str">
        <f t="shared" si="20"/>
        <v>7.6751-0.00166041j</v>
      </c>
      <c r="AK84" s="20" t="str">
        <f t="shared" si="21"/>
        <v>1.0247553298197+0.00022169274630766j</v>
      </c>
      <c r="AO84" s="20">
        <f t="shared" si="22"/>
        <v>1.024755353799899</v>
      </c>
      <c r="AP84" s="20">
        <v>18</v>
      </c>
      <c r="AR84" s="20">
        <f>Compensation!$C$16</f>
        <v>1.1000000000000001</v>
      </c>
    </row>
    <row r="85" spans="1:44" s="20" customFormat="1" x14ac:dyDescent="0.15">
      <c r="A85" s="20">
        <f t="shared" si="0"/>
        <v>0.18</v>
      </c>
      <c r="B85" s="20">
        <f t="shared" si="1"/>
        <v>9.7100000000000009</v>
      </c>
      <c r="C85" s="20">
        <f t="shared" si="23"/>
        <v>0.95000000000000029</v>
      </c>
      <c r="D85" s="20">
        <f t="shared" si="7"/>
        <v>0.90250000000000052</v>
      </c>
      <c r="E85" s="20">
        <f t="shared" si="8"/>
        <v>8.7632750000000055</v>
      </c>
      <c r="F85" s="20">
        <f t="shared" si="9"/>
        <v>-9.7499999999999476E-2</v>
      </c>
      <c r="G85" s="20">
        <f>1</f>
        <v>1</v>
      </c>
      <c r="H85" s="20">
        <f t="shared" si="10"/>
        <v>1.6604100000000008</v>
      </c>
      <c r="I85" s="20" t="str">
        <f t="shared" si="11"/>
        <v>1+1.66041j</v>
      </c>
      <c r="K85" s="20" t="str">
        <f t="shared" si="12"/>
        <v>-0.0974999999999995-0.161889974999999j</v>
      </c>
      <c r="M85" s="20" t="str">
        <f t="shared" si="2"/>
        <v>8.66577500000001-0.161889974999999j</v>
      </c>
      <c r="O85" s="20" t="str">
        <f t="shared" si="3"/>
        <v>1.01089835431541+0.0188851325250958j</v>
      </c>
      <c r="S85" s="20">
        <f t="shared" si="13"/>
        <v>1.0110747405548686</v>
      </c>
      <c r="U85" s="20">
        <f t="shared" si="4"/>
        <v>1.7671874999999999</v>
      </c>
      <c r="V85" s="20">
        <f t="shared" si="5"/>
        <v>1.0214285714285714</v>
      </c>
      <c r="X85" s="20">
        <f t="shared" si="24"/>
        <v>1E-3</v>
      </c>
      <c r="Y85" s="20">
        <f t="shared" si="6"/>
        <v>9.7100000000000009</v>
      </c>
      <c r="Z85" s="20">
        <f t="shared" si="25"/>
        <v>0.95000000000000029</v>
      </c>
      <c r="AA85" s="20">
        <f t="shared" si="14"/>
        <v>0.90250000000000052</v>
      </c>
      <c r="AB85" s="20">
        <f t="shared" si="15"/>
        <v>8.7632750000000055</v>
      </c>
      <c r="AC85" s="20">
        <f t="shared" si="16"/>
        <v>-9.7499999999999476E-2</v>
      </c>
      <c r="AD85" s="20">
        <v>1</v>
      </c>
      <c r="AE85" s="20">
        <f t="shared" si="17"/>
        <v>9.2245000000000053E-3</v>
      </c>
      <c r="AF85" s="20" t="str">
        <f t="shared" si="18"/>
        <v>1+0.00922450000000001j</v>
      </c>
      <c r="AH85" s="20" t="str">
        <f t="shared" si="19"/>
        <v>-0.0974999999999995-0.000899388749999996j</v>
      </c>
      <c r="AI85" s="20" t="str">
        <f t="shared" si="20"/>
        <v>8.66577500000001-0.000899388749999996j</v>
      </c>
      <c r="AK85" s="20" t="str">
        <f t="shared" si="21"/>
        <v>1.01125114667823+0.000104954017932267j</v>
      </c>
      <c r="AO85" s="20">
        <f t="shared" si="22"/>
        <v>1.0112511521246246</v>
      </c>
      <c r="AP85" s="20">
        <v>19</v>
      </c>
      <c r="AR85" s="20">
        <f>Compensation!$C$16</f>
        <v>1.1000000000000001</v>
      </c>
    </row>
    <row r="86" spans="1:44" s="20" customFormat="1" x14ac:dyDescent="0.15">
      <c r="A86" s="20">
        <f t="shared" si="0"/>
        <v>0.18</v>
      </c>
      <c r="B86" s="20">
        <f t="shared" si="1"/>
        <v>9.7100000000000009</v>
      </c>
      <c r="C86" s="20">
        <f t="shared" si="23"/>
        <v>1.0000000000000002</v>
      </c>
      <c r="D86" s="20">
        <f t="shared" si="7"/>
        <v>1.0000000000000004</v>
      </c>
      <c r="E86" s="20">
        <f t="shared" si="8"/>
        <v>9.7100000000000044</v>
      </c>
      <c r="F86" s="20">
        <f t="shared" si="9"/>
        <v>0</v>
      </c>
      <c r="G86" s="20">
        <f>1</f>
        <v>1</v>
      </c>
      <c r="H86" s="20">
        <f t="shared" si="10"/>
        <v>1.7478000000000005</v>
      </c>
      <c r="I86" s="20" t="str">
        <f t="shared" si="11"/>
        <v>1+1.7478j</v>
      </c>
      <c r="K86" s="20" t="str">
        <f t="shared" si="12"/>
        <v>0</v>
      </c>
      <c r="M86" s="20" t="str">
        <f t="shared" si="2"/>
        <v>9.71</v>
      </c>
      <c r="O86" s="20" t="str">
        <f t="shared" si="3"/>
        <v>1</v>
      </c>
      <c r="S86" s="20">
        <f t="shared" si="13"/>
        <v>1</v>
      </c>
      <c r="U86" s="20">
        <f t="shared" si="4"/>
        <v>1.7671874999999999</v>
      </c>
      <c r="V86" s="20">
        <f t="shared" si="5"/>
        <v>1.0214285714285714</v>
      </c>
      <c r="X86" s="20">
        <f t="shared" si="24"/>
        <v>1E-3</v>
      </c>
      <c r="Y86" s="20">
        <f t="shared" si="6"/>
        <v>9.7100000000000009</v>
      </c>
      <c r="Z86" s="20">
        <f t="shared" si="25"/>
        <v>1.0000000000000002</v>
      </c>
      <c r="AA86" s="20">
        <f t="shared" si="14"/>
        <v>1.0000000000000004</v>
      </c>
      <c r="AB86" s="20">
        <f t="shared" si="15"/>
        <v>9.7100000000000044</v>
      </c>
      <c r="AC86" s="20">
        <f t="shared" si="16"/>
        <v>0</v>
      </c>
      <c r="AD86" s="20">
        <v>1</v>
      </c>
      <c r="AE86" s="20">
        <f t="shared" si="17"/>
        <v>9.7100000000000034E-3</v>
      </c>
      <c r="AF86" s="20" t="str">
        <f t="shared" si="18"/>
        <v>1+0.00971j</v>
      </c>
      <c r="AH86" s="20" t="str">
        <f t="shared" si="19"/>
        <v>0</v>
      </c>
      <c r="AI86" s="20" t="str">
        <f t="shared" si="20"/>
        <v>9.71</v>
      </c>
      <c r="AK86" s="20" t="str">
        <f t="shared" si="21"/>
        <v>1</v>
      </c>
      <c r="AO86" s="20">
        <f t="shared" si="22"/>
        <v>1</v>
      </c>
      <c r="AP86" s="20">
        <v>20</v>
      </c>
      <c r="AR86" s="20">
        <f>Compensation!$C$16</f>
        <v>1.1000000000000001</v>
      </c>
    </row>
    <row r="87" spans="1:44" s="20" customFormat="1" x14ac:dyDescent="0.15">
      <c r="A87" s="20">
        <f t="shared" si="0"/>
        <v>0.18</v>
      </c>
      <c r="B87" s="20">
        <f t="shared" si="1"/>
        <v>9.7100000000000009</v>
      </c>
      <c r="C87" s="20">
        <f t="shared" si="23"/>
        <v>1.0500000000000003</v>
      </c>
      <c r="D87" s="20">
        <f t="shared" si="7"/>
        <v>1.1025000000000005</v>
      </c>
      <c r="E87" s="20">
        <f t="shared" si="8"/>
        <v>10.705275000000006</v>
      </c>
      <c r="F87" s="20">
        <f t="shared" si="9"/>
        <v>0.10250000000000048</v>
      </c>
      <c r="G87" s="20">
        <f>1</f>
        <v>1</v>
      </c>
      <c r="H87" s="20">
        <f t="shared" si="10"/>
        <v>1.8351900000000003</v>
      </c>
      <c r="I87" s="20" t="str">
        <f t="shared" si="11"/>
        <v>1+1.83519j</v>
      </c>
      <c r="K87" s="20" t="str">
        <f t="shared" si="12"/>
        <v>0.1025+0.188106975000001j</v>
      </c>
      <c r="M87" s="20" t="str">
        <f t="shared" si="2"/>
        <v>10.807775+0.188106975000001j</v>
      </c>
      <c r="O87" s="20" t="str">
        <f t="shared" si="3"/>
        <v>0.990216124133782-0.0172344964349305j</v>
      </c>
      <c r="S87" s="20">
        <f t="shared" si="13"/>
        <v>0.99036609410959509</v>
      </c>
      <c r="U87" s="20">
        <f t="shared" si="4"/>
        <v>1.7671874999999999</v>
      </c>
      <c r="V87" s="20">
        <f t="shared" si="5"/>
        <v>1.0214285714285714</v>
      </c>
      <c r="X87" s="20">
        <f t="shared" si="24"/>
        <v>1E-3</v>
      </c>
      <c r="Y87" s="20">
        <f t="shared" si="6"/>
        <v>9.7100000000000009</v>
      </c>
      <c r="Z87" s="20">
        <f t="shared" si="25"/>
        <v>1.0500000000000003</v>
      </c>
      <c r="AA87" s="20">
        <f t="shared" si="14"/>
        <v>1.1025000000000005</v>
      </c>
      <c r="AB87" s="20">
        <f t="shared" si="15"/>
        <v>10.705275000000006</v>
      </c>
      <c r="AC87" s="20">
        <f t="shared" si="16"/>
        <v>0.10250000000000048</v>
      </c>
      <c r="AD87" s="20">
        <v>1</v>
      </c>
      <c r="AE87" s="20">
        <f t="shared" si="17"/>
        <v>1.0195500000000003E-2</v>
      </c>
      <c r="AF87" s="20" t="str">
        <f t="shared" si="18"/>
        <v>1+0.0101955j</v>
      </c>
      <c r="AH87" s="20" t="str">
        <f t="shared" si="19"/>
        <v>0.1025+0.00104503875j</v>
      </c>
      <c r="AI87" s="20" t="str">
        <f t="shared" si="20"/>
        <v>10.807775+0.00104503875j</v>
      </c>
      <c r="AK87" s="20" t="str">
        <f t="shared" si="21"/>
        <v>0.990516077537713-0.0000957762058818688j</v>
      </c>
      <c r="AO87" s="20">
        <f t="shared" si="22"/>
        <v>0.99051608216816867</v>
      </c>
      <c r="AP87" s="20">
        <v>21</v>
      </c>
      <c r="AR87" s="20">
        <f>Compensation!$C$16</f>
        <v>1.1000000000000001</v>
      </c>
    </row>
    <row r="88" spans="1:44" s="20" customFormat="1" x14ac:dyDescent="0.15">
      <c r="A88" s="20">
        <f t="shared" si="0"/>
        <v>0.18</v>
      </c>
      <c r="B88" s="20">
        <f t="shared" si="1"/>
        <v>9.7100000000000009</v>
      </c>
      <c r="C88" s="20">
        <f t="shared" si="23"/>
        <v>1.1000000000000003</v>
      </c>
      <c r="D88" s="20">
        <f t="shared" si="7"/>
        <v>1.2100000000000006</v>
      </c>
      <c r="E88" s="20">
        <f t="shared" si="8"/>
        <v>11.749100000000007</v>
      </c>
      <c r="F88" s="20">
        <f t="shared" si="9"/>
        <v>0.21000000000000063</v>
      </c>
      <c r="G88" s="20">
        <f>1</f>
        <v>1</v>
      </c>
      <c r="H88" s="20">
        <f t="shared" si="10"/>
        <v>1.9225800000000008</v>
      </c>
      <c r="I88" s="20" t="str">
        <f t="shared" si="11"/>
        <v>1+1.92258j</v>
      </c>
      <c r="K88" s="20" t="str">
        <f t="shared" si="12"/>
        <v>0.210000000000001+0.403741800000001j</v>
      </c>
      <c r="M88" s="20" t="str">
        <f t="shared" si="2"/>
        <v>11.9591+0.403741800000001j</v>
      </c>
      <c r="O88" s="20" t="str">
        <f t="shared" si="3"/>
        <v>0.981321686637991-0.0331296321748509j</v>
      </c>
      <c r="S88" s="20">
        <f t="shared" si="13"/>
        <v>0.98188075915259299</v>
      </c>
      <c r="U88" s="20">
        <f t="shared" si="4"/>
        <v>1.7671874999999999</v>
      </c>
      <c r="V88" s="20">
        <f t="shared" si="5"/>
        <v>1.0214285714285714</v>
      </c>
      <c r="X88" s="20">
        <f t="shared" si="24"/>
        <v>1E-3</v>
      </c>
      <c r="Y88" s="20">
        <f t="shared" si="6"/>
        <v>9.7100000000000009</v>
      </c>
      <c r="Z88" s="20">
        <f t="shared" si="25"/>
        <v>1.1000000000000003</v>
      </c>
      <c r="AA88" s="20">
        <f t="shared" si="14"/>
        <v>1.2100000000000006</v>
      </c>
      <c r="AB88" s="20">
        <f t="shared" si="15"/>
        <v>11.749100000000007</v>
      </c>
      <c r="AC88" s="20">
        <f t="shared" si="16"/>
        <v>0.21000000000000063</v>
      </c>
      <c r="AD88" s="20">
        <v>1</v>
      </c>
      <c r="AE88" s="20">
        <f t="shared" si="17"/>
        <v>1.0681000000000005E-2</v>
      </c>
      <c r="AF88" s="20" t="str">
        <f t="shared" si="18"/>
        <v>1+0.010681j</v>
      </c>
      <c r="AH88" s="20" t="str">
        <f t="shared" si="19"/>
        <v>0.210000000000001+0.00224301000000001j</v>
      </c>
      <c r="AI88" s="20" t="str">
        <f t="shared" si="20"/>
        <v>11.9591+0.00224301000000001j</v>
      </c>
      <c r="AK88" s="20" t="str">
        <f t="shared" si="21"/>
        <v>0.982440115618703-0.00018426328099388j</v>
      </c>
      <c r="AO88" s="20">
        <f t="shared" si="22"/>
        <v>0.98244013289861454</v>
      </c>
      <c r="AP88" s="20">
        <v>22</v>
      </c>
      <c r="AR88" s="20">
        <f>Compensation!$C$16</f>
        <v>1.1000000000000001</v>
      </c>
    </row>
    <row r="89" spans="1:44" s="20" customFormat="1" x14ac:dyDescent="0.15">
      <c r="A89" s="20">
        <f t="shared" si="0"/>
        <v>0.18</v>
      </c>
      <c r="B89" s="20">
        <f t="shared" si="1"/>
        <v>9.7100000000000009</v>
      </c>
      <c r="C89" s="20">
        <f t="shared" si="23"/>
        <v>1.1500000000000004</v>
      </c>
      <c r="D89" s="20">
        <f t="shared" si="7"/>
        <v>1.3225000000000009</v>
      </c>
      <c r="E89" s="20">
        <f t="shared" si="8"/>
        <v>12.84147500000001</v>
      </c>
      <c r="F89" s="20">
        <f t="shared" si="9"/>
        <v>0.3225000000000009</v>
      </c>
      <c r="G89" s="20">
        <f>1</f>
        <v>1</v>
      </c>
      <c r="H89" s="20">
        <f t="shared" si="10"/>
        <v>2.0099700000000009</v>
      </c>
      <c r="I89" s="20" t="str">
        <f t="shared" si="11"/>
        <v>1+2.00997j</v>
      </c>
      <c r="K89" s="20" t="str">
        <f t="shared" si="12"/>
        <v>0.322500000000001+0.648215325000002j</v>
      </c>
      <c r="M89" s="20" t="str">
        <f t="shared" si="2"/>
        <v>13.163975+0.648215325000002j</v>
      </c>
      <c r="O89" s="20" t="str">
        <f t="shared" si="3"/>
        <v>0.973141708939093-0.0479190646541802j</v>
      </c>
      <c r="S89" s="20">
        <f t="shared" si="13"/>
        <v>0.97432080057557524</v>
      </c>
      <c r="U89" s="20">
        <f t="shared" si="4"/>
        <v>1.7671874999999999</v>
      </c>
      <c r="V89" s="20">
        <f t="shared" si="5"/>
        <v>1.0214285714285714</v>
      </c>
      <c r="X89" s="20">
        <f t="shared" si="24"/>
        <v>1E-3</v>
      </c>
      <c r="Y89" s="20">
        <f t="shared" si="6"/>
        <v>9.7100000000000009</v>
      </c>
      <c r="Z89" s="20">
        <f t="shared" si="25"/>
        <v>1.1500000000000004</v>
      </c>
      <c r="AA89" s="20">
        <f t="shared" si="14"/>
        <v>1.3225000000000009</v>
      </c>
      <c r="AB89" s="20">
        <f t="shared" si="15"/>
        <v>12.84147500000001</v>
      </c>
      <c r="AC89" s="20">
        <f t="shared" si="16"/>
        <v>0.3225000000000009</v>
      </c>
      <c r="AD89" s="20">
        <v>1</v>
      </c>
      <c r="AE89" s="20">
        <f t="shared" si="17"/>
        <v>1.1166500000000005E-2</v>
      </c>
      <c r="AF89" s="20" t="str">
        <f t="shared" si="18"/>
        <v>1+0.0111665j</v>
      </c>
      <c r="AH89" s="20" t="str">
        <f t="shared" si="19"/>
        <v>0.322500000000001+0.00360119625000001j</v>
      </c>
      <c r="AI89" s="20" t="str">
        <f t="shared" si="20"/>
        <v>13.163975+0.00360119625000001j</v>
      </c>
      <c r="AK89" s="20" t="str">
        <f t="shared" si="21"/>
        <v>0.975501247835531-0.000266862511936983j</v>
      </c>
      <c r="AO89" s="20">
        <f t="shared" si="22"/>
        <v>0.97550128433758532</v>
      </c>
      <c r="AP89" s="20">
        <v>23</v>
      </c>
      <c r="AR89" s="20">
        <f>Compensation!$C$16</f>
        <v>1.1000000000000001</v>
      </c>
    </row>
    <row r="90" spans="1:44" s="20" customFormat="1" x14ac:dyDescent="0.15">
      <c r="A90" s="20">
        <f t="shared" si="0"/>
        <v>0.18</v>
      </c>
      <c r="B90" s="20">
        <f t="shared" si="1"/>
        <v>9.7100000000000009</v>
      </c>
      <c r="C90" s="20">
        <f t="shared" si="23"/>
        <v>1.2000000000000004</v>
      </c>
      <c r="D90" s="20">
        <f t="shared" si="7"/>
        <v>1.4400000000000011</v>
      </c>
      <c r="E90" s="20">
        <f t="shared" si="8"/>
        <v>13.982400000000011</v>
      </c>
      <c r="F90" s="20">
        <f t="shared" si="9"/>
        <v>0.44000000000000106</v>
      </c>
      <c r="G90" s="20">
        <f>1</f>
        <v>1</v>
      </c>
      <c r="H90" s="20">
        <f t="shared" si="10"/>
        <v>2.0973600000000006</v>
      </c>
      <c r="I90" s="20" t="str">
        <f t="shared" si="11"/>
        <v>1+2.09736j</v>
      </c>
      <c r="K90" s="20" t="str">
        <f t="shared" si="12"/>
        <v>0.440000000000001+0.922838400000002j</v>
      </c>
      <c r="M90" s="20" t="str">
        <f t="shared" si="2"/>
        <v>14.4224+0.922838400000002j</v>
      </c>
      <c r="O90" s="20" t="str">
        <f t="shared" si="3"/>
        <v>0.965538727397261-0.0617814104676979j</v>
      </c>
      <c r="S90" s="20">
        <f t="shared" si="13"/>
        <v>0.96751329540389286</v>
      </c>
      <c r="U90" s="20">
        <f t="shared" si="4"/>
        <v>1.7671874999999999</v>
      </c>
      <c r="V90" s="20">
        <f t="shared" si="5"/>
        <v>1.0214285714285714</v>
      </c>
      <c r="X90" s="20">
        <f t="shared" si="24"/>
        <v>1E-3</v>
      </c>
      <c r="Y90" s="20">
        <f t="shared" si="6"/>
        <v>9.7100000000000009</v>
      </c>
      <c r="Z90" s="20">
        <f t="shared" si="25"/>
        <v>1.2000000000000004</v>
      </c>
      <c r="AA90" s="20">
        <f t="shared" si="14"/>
        <v>1.4400000000000011</v>
      </c>
      <c r="AB90" s="20">
        <f t="shared" si="15"/>
        <v>13.982400000000011</v>
      </c>
      <c r="AC90" s="20">
        <f t="shared" si="16"/>
        <v>0.44000000000000106</v>
      </c>
      <c r="AD90" s="20">
        <v>1</v>
      </c>
      <c r="AE90" s="20">
        <f t="shared" si="17"/>
        <v>1.1652000000000004E-2</v>
      </c>
      <c r="AF90" s="20" t="str">
        <f t="shared" si="18"/>
        <v>1+0.011652j</v>
      </c>
      <c r="AH90" s="20" t="str">
        <f t="shared" si="19"/>
        <v>0.440000000000001+0.00512688000000001j</v>
      </c>
      <c r="AI90" s="20" t="str">
        <f t="shared" si="20"/>
        <v>14.4224+0.00512688000000001j</v>
      </c>
      <c r="AK90" s="20" t="str">
        <f t="shared" si="21"/>
        <v>0.969491778975499-0.000344635290367339j</v>
      </c>
      <c r="AO90" s="20">
        <f t="shared" si="22"/>
        <v>0.96949184023103641</v>
      </c>
      <c r="AP90" s="20">
        <v>24</v>
      </c>
      <c r="AR90" s="20">
        <f>Compensation!$C$16</f>
        <v>1.1000000000000001</v>
      </c>
    </row>
    <row r="91" spans="1:44" s="20" customFormat="1" x14ac:dyDescent="0.15">
      <c r="A91" s="20">
        <f t="shared" si="0"/>
        <v>0.18</v>
      </c>
      <c r="B91" s="20">
        <f t="shared" si="1"/>
        <v>9.7100000000000009</v>
      </c>
      <c r="C91" s="20">
        <f t="shared" si="23"/>
        <v>1.2500000000000004</v>
      </c>
      <c r="D91" s="20">
        <f t="shared" si="7"/>
        <v>1.5625000000000011</v>
      </c>
      <c r="E91" s="20">
        <f t="shared" si="8"/>
        <v>15.171875000000012</v>
      </c>
      <c r="F91" s="20">
        <f t="shared" si="9"/>
        <v>0.56250000000000111</v>
      </c>
      <c r="G91" s="20">
        <f>1</f>
        <v>1</v>
      </c>
      <c r="H91" s="20">
        <f t="shared" si="10"/>
        <v>2.1847500000000006</v>
      </c>
      <c r="I91" s="20" t="str">
        <f t="shared" si="11"/>
        <v>1+2.18475j</v>
      </c>
      <c r="K91" s="20" t="str">
        <f t="shared" si="12"/>
        <v>0.562500000000001+1.228921875j</v>
      </c>
      <c r="M91" s="20" t="str">
        <f t="shared" si="2"/>
        <v>15.734375+1.228921875j</v>
      </c>
      <c r="O91" s="20" t="str">
        <f t="shared" si="3"/>
        <v>0.95840372008292-0.0748554230270523j</v>
      </c>
      <c r="S91" s="20">
        <f t="shared" si="13"/>
        <v>0.96132253953880586</v>
      </c>
      <c r="U91" s="20">
        <f t="shared" si="4"/>
        <v>1.7671874999999999</v>
      </c>
      <c r="V91" s="20">
        <f t="shared" si="5"/>
        <v>1.0214285714285714</v>
      </c>
      <c r="X91" s="20">
        <f t="shared" si="24"/>
        <v>1E-3</v>
      </c>
      <c r="Y91" s="20">
        <f t="shared" si="6"/>
        <v>9.7100000000000009</v>
      </c>
      <c r="Z91" s="20">
        <f t="shared" si="25"/>
        <v>1.2500000000000004</v>
      </c>
      <c r="AA91" s="20">
        <f t="shared" si="14"/>
        <v>1.5625000000000011</v>
      </c>
      <c r="AB91" s="20">
        <f t="shared" si="15"/>
        <v>15.171875000000012</v>
      </c>
      <c r="AC91" s="20">
        <f t="shared" si="16"/>
        <v>0.56250000000000111</v>
      </c>
      <c r="AD91" s="20">
        <v>1</v>
      </c>
      <c r="AE91" s="20">
        <f t="shared" si="17"/>
        <v>1.2137500000000004E-2</v>
      </c>
      <c r="AF91" s="20" t="str">
        <f t="shared" si="18"/>
        <v>1+0.0121375j</v>
      </c>
      <c r="AH91" s="20" t="str">
        <f t="shared" si="19"/>
        <v>0.562500000000001+0.00682734375000001j</v>
      </c>
      <c r="AI91" s="20" t="str">
        <f t="shared" si="20"/>
        <v>15.734375+0.00682734375000001j</v>
      </c>
      <c r="AK91" s="20" t="str">
        <f t="shared" si="21"/>
        <v>0.964250066713014-0.000418400264796675j</v>
      </c>
      <c r="AO91" s="20">
        <f t="shared" si="22"/>
        <v>0.96425015748758558</v>
      </c>
      <c r="AP91" s="20">
        <v>25</v>
      </c>
      <c r="AR91" s="20">
        <f>Compensation!$C$16</f>
        <v>1.1000000000000001</v>
      </c>
    </row>
    <row r="92" spans="1:44" s="20" customFormat="1" x14ac:dyDescent="0.15">
      <c r="A92" s="20">
        <f t="shared" si="0"/>
        <v>0.18</v>
      </c>
      <c r="B92" s="20">
        <f t="shared" si="1"/>
        <v>9.7100000000000009</v>
      </c>
      <c r="C92" s="20">
        <f t="shared" si="23"/>
        <v>1.3000000000000005</v>
      </c>
      <c r="D92" s="20">
        <f t="shared" si="7"/>
        <v>1.6900000000000013</v>
      </c>
      <c r="E92" s="20">
        <f t="shared" si="8"/>
        <v>16.409900000000015</v>
      </c>
      <c r="F92" s="20">
        <f t="shared" si="9"/>
        <v>0.69000000000000128</v>
      </c>
      <c r="G92" s="20">
        <f>1</f>
        <v>1</v>
      </c>
      <c r="H92" s="20">
        <f t="shared" si="10"/>
        <v>2.2721400000000012</v>
      </c>
      <c r="I92" s="20" t="str">
        <f t="shared" si="11"/>
        <v>1+2.27214j</v>
      </c>
      <c r="K92" s="20" t="str">
        <f t="shared" si="12"/>
        <v>0.690000000000001+1.5677766j</v>
      </c>
      <c r="M92" s="20" t="str">
        <f t="shared" si="2"/>
        <v>17.0999+1.5677766j</v>
      </c>
      <c r="O92" s="20" t="str">
        <f t="shared" si="3"/>
        <v>0.951649471878208-0.0872504385062493j</v>
      </c>
      <c r="S92" s="20">
        <f t="shared" si="13"/>
        <v>0.95564080927177086</v>
      </c>
      <c r="U92" s="20">
        <f t="shared" si="4"/>
        <v>1.7671874999999999</v>
      </c>
      <c r="V92" s="20">
        <f t="shared" si="5"/>
        <v>1.0214285714285714</v>
      </c>
      <c r="X92" s="20">
        <f t="shared" si="24"/>
        <v>1E-3</v>
      </c>
      <c r="Y92" s="20">
        <f t="shared" si="6"/>
        <v>9.7100000000000009</v>
      </c>
      <c r="Z92" s="20">
        <f t="shared" si="25"/>
        <v>1.3000000000000005</v>
      </c>
      <c r="AA92" s="20">
        <f t="shared" si="14"/>
        <v>1.6900000000000013</v>
      </c>
      <c r="AB92" s="20">
        <f t="shared" si="15"/>
        <v>16.409900000000015</v>
      </c>
      <c r="AC92" s="20">
        <f t="shared" si="16"/>
        <v>0.69000000000000128</v>
      </c>
      <c r="AD92" s="20">
        <v>1</v>
      </c>
      <c r="AE92" s="20">
        <f t="shared" si="17"/>
        <v>1.2623000000000007E-2</v>
      </c>
      <c r="AF92" s="20" t="str">
        <f t="shared" si="18"/>
        <v>1+0.012623j</v>
      </c>
      <c r="AH92" s="20" t="str">
        <f t="shared" si="19"/>
        <v>0.690000000000001+0.00870987000000002j</v>
      </c>
      <c r="AI92" s="20" t="str">
        <f t="shared" si="20"/>
        <v>17.0999+0.00870987000000002j</v>
      </c>
      <c r="AK92" s="20" t="str">
        <f t="shared" si="21"/>
        <v>0.959648637864773-0.000488799050373351j</v>
      </c>
      <c r="AO92" s="20">
        <f t="shared" si="22"/>
        <v>0.9596487623501766</v>
      </c>
      <c r="AP92" s="20">
        <v>26</v>
      </c>
      <c r="AR92" s="20">
        <f>Compensation!$C$16</f>
        <v>1.1000000000000001</v>
      </c>
    </row>
    <row r="93" spans="1:44" s="20" customFormat="1" x14ac:dyDescent="0.15">
      <c r="A93" s="20">
        <f t="shared" si="0"/>
        <v>0.18</v>
      </c>
      <c r="B93" s="20">
        <f t="shared" si="1"/>
        <v>9.7100000000000009</v>
      </c>
      <c r="C93" s="20">
        <f t="shared" si="23"/>
        <v>1.3500000000000005</v>
      </c>
      <c r="D93" s="20">
        <f t="shared" si="7"/>
        <v>1.8225000000000013</v>
      </c>
      <c r="E93" s="20">
        <f t="shared" si="8"/>
        <v>17.696475000000014</v>
      </c>
      <c r="F93" s="20">
        <f t="shared" si="9"/>
        <v>0.82250000000000134</v>
      </c>
      <c r="G93" s="20">
        <f>1</f>
        <v>1</v>
      </c>
      <c r="H93" s="20">
        <f t="shared" si="10"/>
        <v>2.3595300000000012</v>
      </c>
      <c r="I93" s="20" t="str">
        <f t="shared" si="11"/>
        <v>1+2.35953j</v>
      </c>
      <c r="K93" s="20" t="str">
        <f t="shared" si="12"/>
        <v>0.822500000000001+1.940713425j</v>
      </c>
      <c r="M93" s="20" t="str">
        <f t="shared" si="2"/>
        <v>18.518975+1.940713425j</v>
      </c>
      <c r="O93" s="20" t="str">
        <f t="shared" si="3"/>
        <v>0.945205667141348-0.0990537180166449j</v>
      </c>
      <c r="S93" s="20">
        <f t="shared" si="13"/>
        <v>0.95038170870921213</v>
      </c>
      <c r="U93" s="20">
        <f t="shared" si="4"/>
        <v>1.7671874999999999</v>
      </c>
      <c r="V93" s="20">
        <f t="shared" si="5"/>
        <v>1.0214285714285714</v>
      </c>
      <c r="X93" s="20">
        <f t="shared" si="24"/>
        <v>1E-3</v>
      </c>
      <c r="Y93" s="20">
        <f t="shared" si="6"/>
        <v>9.7100000000000009</v>
      </c>
      <c r="Z93" s="20">
        <f t="shared" si="25"/>
        <v>1.3500000000000005</v>
      </c>
      <c r="AA93" s="20">
        <f t="shared" si="14"/>
        <v>1.8225000000000013</v>
      </c>
      <c r="AB93" s="20">
        <f t="shared" si="15"/>
        <v>17.696475000000014</v>
      </c>
      <c r="AC93" s="20">
        <f t="shared" si="16"/>
        <v>0.82250000000000134</v>
      </c>
      <c r="AD93" s="20">
        <v>1</v>
      </c>
      <c r="AE93" s="20">
        <f t="shared" si="17"/>
        <v>1.3108500000000007E-2</v>
      </c>
      <c r="AF93" s="20" t="str">
        <f t="shared" si="18"/>
        <v>1+0.0131085j</v>
      </c>
      <c r="AH93" s="20" t="str">
        <f t="shared" si="19"/>
        <v>0.822500000000001+0.01078174125j</v>
      </c>
      <c r="AI93" s="20" t="str">
        <f t="shared" si="20"/>
        <v>18.518975+0.01078174125j</v>
      </c>
      <c r="AK93" s="20" t="str">
        <f t="shared" si="21"/>
        <v>0.955585770900791-0.000556341726474284j</v>
      </c>
      <c r="AO93" s="20">
        <f t="shared" si="22"/>
        <v>0.95558593285176385</v>
      </c>
      <c r="AP93" s="20">
        <v>27</v>
      </c>
      <c r="AR93" s="20">
        <f>Compensation!$C$16</f>
        <v>1.1000000000000001</v>
      </c>
    </row>
    <row r="94" spans="1:44" s="20" customFormat="1" x14ac:dyDescent="0.15">
      <c r="A94" s="20">
        <f t="shared" si="0"/>
        <v>0.18</v>
      </c>
      <c r="B94" s="20">
        <f t="shared" si="1"/>
        <v>9.7100000000000009</v>
      </c>
      <c r="C94" s="20">
        <f t="shared" si="23"/>
        <v>1.4000000000000006</v>
      </c>
      <c r="D94" s="20">
        <f t="shared" si="7"/>
        <v>1.9600000000000015</v>
      </c>
      <c r="E94" s="20">
        <f t="shared" si="8"/>
        <v>19.031600000000015</v>
      </c>
      <c r="F94" s="20">
        <f t="shared" si="9"/>
        <v>0.96000000000000152</v>
      </c>
      <c r="G94" s="20">
        <f>1</f>
        <v>1</v>
      </c>
      <c r="H94" s="20">
        <f t="shared" si="10"/>
        <v>2.4469200000000009</v>
      </c>
      <c r="I94" s="20" t="str">
        <f t="shared" si="11"/>
        <v>1+2.44692j</v>
      </c>
      <c r="K94" s="20" t="str">
        <f t="shared" si="12"/>
        <v>0.960000000000002+2.3490432j</v>
      </c>
      <c r="M94" s="20" t="str">
        <f t="shared" si="2"/>
        <v>19.9916+2.3490432j</v>
      </c>
      <c r="O94" s="20" t="str">
        <f t="shared" si="3"/>
        <v>0.939015219306-0.11033570677721j</v>
      </c>
      <c r="S94" s="20">
        <f t="shared" si="13"/>
        <v>0.94547530389657553</v>
      </c>
      <c r="U94" s="20">
        <f t="shared" si="4"/>
        <v>1.7671874999999999</v>
      </c>
      <c r="V94" s="20">
        <f t="shared" si="5"/>
        <v>1.0214285714285714</v>
      </c>
      <c r="X94" s="20">
        <f t="shared" si="24"/>
        <v>1E-3</v>
      </c>
      <c r="Y94" s="20">
        <f t="shared" si="6"/>
        <v>9.7100000000000009</v>
      </c>
      <c r="Z94" s="20">
        <f t="shared" si="25"/>
        <v>1.4000000000000006</v>
      </c>
      <c r="AA94" s="20">
        <f t="shared" si="14"/>
        <v>1.9600000000000015</v>
      </c>
      <c r="AB94" s="20">
        <f t="shared" si="15"/>
        <v>19.031600000000015</v>
      </c>
      <c r="AC94" s="20">
        <f t="shared" si="16"/>
        <v>0.96000000000000152</v>
      </c>
      <c r="AD94" s="20">
        <v>1</v>
      </c>
      <c r="AE94" s="20">
        <f t="shared" si="17"/>
        <v>1.3594000000000007E-2</v>
      </c>
      <c r="AF94" s="20" t="str">
        <f t="shared" si="18"/>
        <v>1+0.013594j</v>
      </c>
      <c r="AH94" s="20" t="str">
        <f t="shared" si="19"/>
        <v>0.960000000000002+0.01305024j</v>
      </c>
      <c r="AI94" s="20" t="str">
        <f t="shared" si="20"/>
        <v>19.9916+0.01305024j</v>
      </c>
      <c r="AK94" s="20" t="str">
        <f t="shared" si="21"/>
        <v>0.951979425862456-0.000621439003509837j</v>
      </c>
      <c r="AO94" s="20">
        <f t="shared" si="22"/>
        <v>0.95197962869582797</v>
      </c>
      <c r="AP94" s="20">
        <v>28</v>
      </c>
      <c r="AR94" s="20">
        <f>Compensation!$C$16</f>
        <v>1.1000000000000001</v>
      </c>
    </row>
    <row r="95" spans="1:44" s="20" customFormat="1" x14ac:dyDescent="0.15">
      <c r="A95" s="20">
        <f t="shared" si="0"/>
        <v>0.18</v>
      </c>
      <c r="B95" s="20">
        <f t="shared" si="1"/>
        <v>9.7100000000000009</v>
      </c>
      <c r="C95" s="20">
        <f t="shared" si="23"/>
        <v>1.4500000000000006</v>
      </c>
      <c r="D95" s="20">
        <f t="shared" si="7"/>
        <v>2.1025000000000018</v>
      </c>
      <c r="E95" s="20">
        <f t="shared" si="8"/>
        <v>20.415275000000019</v>
      </c>
      <c r="F95" s="20">
        <f t="shared" si="9"/>
        <v>1.1025000000000018</v>
      </c>
      <c r="G95" s="20">
        <f>1</f>
        <v>1</v>
      </c>
      <c r="H95" s="20">
        <f t="shared" si="10"/>
        <v>2.534310000000001</v>
      </c>
      <c r="I95" s="20" t="str">
        <f t="shared" si="11"/>
        <v>1+2.53431j</v>
      </c>
      <c r="K95" s="20" t="str">
        <f t="shared" si="12"/>
        <v>1.1025+2.794076775j</v>
      </c>
      <c r="M95" s="20" t="str">
        <f t="shared" si="2"/>
        <v>21.517775+2.794076775j</v>
      </c>
      <c r="O95" s="20" t="str">
        <f t="shared" si="3"/>
        <v>0.933031495881258-0.121153866186691j</v>
      </c>
      <c r="S95" s="20">
        <f t="shared" si="13"/>
        <v>0.9408645128807871</v>
      </c>
      <c r="U95" s="20">
        <f t="shared" si="4"/>
        <v>1.7671874999999999</v>
      </c>
      <c r="V95" s="20">
        <f t="shared" si="5"/>
        <v>1.0214285714285714</v>
      </c>
      <c r="X95" s="20">
        <f t="shared" si="24"/>
        <v>1E-3</v>
      </c>
      <c r="Y95" s="20">
        <f t="shared" si="6"/>
        <v>9.7100000000000009</v>
      </c>
      <c r="Z95" s="20">
        <f t="shared" si="25"/>
        <v>1.4500000000000006</v>
      </c>
      <c r="AA95" s="20">
        <f t="shared" si="14"/>
        <v>2.1025000000000018</v>
      </c>
      <c r="AB95" s="20">
        <f t="shared" si="15"/>
        <v>20.415275000000019</v>
      </c>
      <c r="AC95" s="20">
        <f t="shared" si="16"/>
        <v>1.1025000000000018</v>
      </c>
      <c r="AD95" s="20">
        <v>1</v>
      </c>
      <c r="AE95" s="20">
        <f t="shared" si="17"/>
        <v>1.4079500000000007E-2</v>
      </c>
      <c r="AF95" s="20" t="str">
        <f t="shared" si="18"/>
        <v>1+0.0140795j</v>
      </c>
      <c r="AH95" s="20" t="str">
        <f t="shared" si="19"/>
        <v>1.1025+0.01552264875j</v>
      </c>
      <c r="AI95" s="20" t="str">
        <f t="shared" si="20"/>
        <v>21.517775+0.01552264875j</v>
      </c>
      <c r="AK95" s="20" t="str">
        <f t="shared" si="21"/>
        <v>0.948762796148999-0.000684425393967953j</v>
      </c>
      <c r="AO95" s="20">
        <f t="shared" si="22"/>
        <v>0.94876304301684689</v>
      </c>
      <c r="AP95" s="20">
        <v>29</v>
      </c>
      <c r="AR95" s="20">
        <f>Compensation!$C$16</f>
        <v>1.1000000000000001</v>
      </c>
    </row>
    <row r="96" spans="1:44" s="20" customFormat="1" x14ac:dyDescent="0.15">
      <c r="A96" s="20">
        <f t="shared" si="0"/>
        <v>0.18</v>
      </c>
      <c r="B96" s="20">
        <f t="shared" si="1"/>
        <v>9.7100000000000009</v>
      </c>
      <c r="C96" s="20">
        <f t="shared" si="23"/>
        <v>1.5000000000000007</v>
      </c>
      <c r="D96" s="20">
        <f t="shared" si="7"/>
        <v>2.2500000000000018</v>
      </c>
      <c r="E96" s="20">
        <f t="shared" si="8"/>
        <v>21.847500000000018</v>
      </c>
      <c r="F96" s="20">
        <f t="shared" si="9"/>
        <v>1.2500000000000018</v>
      </c>
      <c r="G96" s="20">
        <f>1</f>
        <v>1</v>
      </c>
      <c r="H96" s="20">
        <f t="shared" si="10"/>
        <v>2.6217000000000015</v>
      </c>
      <c r="I96" s="20" t="str">
        <f t="shared" si="11"/>
        <v>1+2.6217j</v>
      </c>
      <c r="K96" s="20" t="str">
        <f t="shared" si="12"/>
        <v>1.25+3.277125j</v>
      </c>
      <c r="M96" s="20" t="str">
        <f t="shared" si="2"/>
        <v>23.0975+3.277125j</v>
      </c>
      <c r="O96" s="20" t="str">
        <f t="shared" si="3"/>
        <v>0.92721619873479-0.131555509699264j</v>
      </c>
      <c r="S96" s="20">
        <f t="shared" si="13"/>
        <v>0.93650239259087142</v>
      </c>
      <c r="U96" s="20">
        <f t="shared" si="4"/>
        <v>1.7671874999999999</v>
      </c>
      <c r="V96" s="20">
        <f t="shared" si="5"/>
        <v>1.0214285714285714</v>
      </c>
      <c r="X96" s="20">
        <f t="shared" si="24"/>
        <v>1E-3</v>
      </c>
      <c r="Y96" s="20">
        <f t="shared" si="6"/>
        <v>9.7100000000000009</v>
      </c>
      <c r="Z96" s="20">
        <f t="shared" si="25"/>
        <v>1.5000000000000007</v>
      </c>
      <c r="AA96" s="20">
        <f t="shared" si="14"/>
        <v>2.2500000000000018</v>
      </c>
      <c r="AB96" s="20">
        <f t="shared" si="15"/>
        <v>21.847500000000018</v>
      </c>
      <c r="AC96" s="20">
        <f t="shared" si="16"/>
        <v>1.2500000000000018</v>
      </c>
      <c r="AD96" s="20">
        <v>1</v>
      </c>
      <c r="AE96" s="20">
        <f t="shared" si="17"/>
        <v>1.4565000000000008E-2</v>
      </c>
      <c r="AF96" s="20" t="str">
        <f t="shared" si="18"/>
        <v>1+0.014565j</v>
      </c>
      <c r="AH96" s="20" t="str">
        <f t="shared" si="19"/>
        <v>1.25+0.01820625j</v>
      </c>
      <c r="AI96" s="20" t="str">
        <f t="shared" si="20"/>
        <v>23.0975+0.01820625j</v>
      </c>
      <c r="AK96" s="20" t="str">
        <f t="shared" si="21"/>
        <v>0.94588100122756-0.000745576186972584j</v>
      </c>
      <c r="AO96" s="20">
        <f t="shared" si="22"/>
        <v>0.94588129507200958</v>
      </c>
      <c r="AP96" s="20">
        <v>30</v>
      </c>
      <c r="AR96" s="20">
        <f>Compensation!$C$16</f>
        <v>1.1000000000000001</v>
      </c>
    </row>
    <row r="97" spans="1:44" s="20" customFormat="1" x14ac:dyDescent="0.15">
      <c r="A97" s="20">
        <f t="shared" si="0"/>
        <v>0.18</v>
      </c>
      <c r="B97" s="20">
        <f t="shared" si="1"/>
        <v>9.7100000000000009</v>
      </c>
      <c r="C97" s="20">
        <f t="shared" si="23"/>
        <v>1.5500000000000007</v>
      </c>
      <c r="D97" s="20">
        <f t="shared" si="7"/>
        <v>2.4025000000000021</v>
      </c>
      <c r="E97" s="20">
        <f t="shared" si="8"/>
        <v>23.328275000000023</v>
      </c>
      <c r="F97" s="20">
        <f t="shared" si="9"/>
        <v>1.4025000000000021</v>
      </c>
      <c r="G97" s="20">
        <f>1</f>
        <v>1</v>
      </c>
      <c r="H97" s="20">
        <f t="shared" si="10"/>
        <v>2.7090900000000016</v>
      </c>
      <c r="I97" s="20" t="str">
        <f t="shared" si="11"/>
        <v>1+2.70909j</v>
      </c>
      <c r="K97" s="20" t="str">
        <f t="shared" si="12"/>
        <v>1.4025+3.79949872500001j</v>
      </c>
      <c r="M97" s="20" t="str">
        <f t="shared" si="2"/>
        <v>24.730775+3.79949872500001j</v>
      </c>
      <c r="O97" s="20" t="str">
        <f t="shared" si="3"/>
        <v>0.921537729059059-0.141579931344622j</v>
      </c>
      <c r="S97" s="20">
        <f t="shared" si="13"/>
        <v>0.9323500753680859</v>
      </c>
      <c r="U97" s="20">
        <f t="shared" si="4"/>
        <v>1.7671874999999999</v>
      </c>
      <c r="V97" s="20">
        <f t="shared" si="5"/>
        <v>1.0214285714285714</v>
      </c>
      <c r="X97" s="20">
        <f t="shared" si="24"/>
        <v>1E-3</v>
      </c>
      <c r="Y97" s="20">
        <f t="shared" si="6"/>
        <v>9.7100000000000009</v>
      </c>
      <c r="Z97" s="20">
        <f t="shared" si="25"/>
        <v>1.5500000000000007</v>
      </c>
      <c r="AA97" s="20">
        <f t="shared" si="14"/>
        <v>2.4025000000000021</v>
      </c>
      <c r="AB97" s="20">
        <f t="shared" si="15"/>
        <v>23.328275000000023</v>
      </c>
      <c r="AC97" s="20">
        <f t="shared" si="16"/>
        <v>1.4025000000000021</v>
      </c>
      <c r="AD97" s="20">
        <v>1</v>
      </c>
      <c r="AE97" s="20">
        <f t="shared" si="17"/>
        <v>1.5050500000000008E-2</v>
      </c>
      <c r="AF97" s="20" t="str">
        <f t="shared" si="18"/>
        <v>1+0.0150505j</v>
      </c>
      <c r="AH97" s="20" t="str">
        <f t="shared" si="19"/>
        <v>1.4025+0.02110832625j</v>
      </c>
      <c r="AI97" s="20" t="str">
        <f t="shared" si="20"/>
        <v>24.730775+0.02110832625j</v>
      </c>
      <c r="AK97" s="20" t="str">
        <f t="shared" si="21"/>
        <v>0.943288595091048-0.000805120074606881j</v>
      </c>
      <c r="AO97" s="20">
        <f t="shared" si="22"/>
        <v>0.94328893868590324</v>
      </c>
      <c r="AP97" s="20">
        <v>31</v>
      </c>
      <c r="AR97" s="20">
        <f>Compensation!$C$16</f>
        <v>1.1000000000000001</v>
      </c>
    </row>
    <row r="98" spans="1:44" s="20" customFormat="1" x14ac:dyDescent="0.15">
      <c r="A98" s="20">
        <f t="shared" si="0"/>
        <v>0.18</v>
      </c>
      <c r="B98" s="20">
        <f t="shared" si="1"/>
        <v>9.7100000000000009</v>
      </c>
      <c r="C98" s="20">
        <f t="shared" si="23"/>
        <v>1.6000000000000008</v>
      </c>
      <c r="D98" s="20">
        <f t="shared" si="7"/>
        <v>2.5600000000000023</v>
      </c>
      <c r="E98" s="20">
        <f t="shared" si="8"/>
        <v>24.857600000000023</v>
      </c>
      <c r="F98" s="20">
        <f t="shared" si="9"/>
        <v>1.5600000000000023</v>
      </c>
      <c r="G98" s="20">
        <f>1</f>
        <v>1</v>
      </c>
      <c r="H98" s="20">
        <f t="shared" si="10"/>
        <v>2.7964800000000016</v>
      </c>
      <c r="I98" s="20" t="str">
        <f t="shared" si="11"/>
        <v>1+2.79648j</v>
      </c>
      <c r="K98" s="20" t="str">
        <f t="shared" si="12"/>
        <v>1.56+4.36250880000001j</v>
      </c>
      <c r="M98" s="20" t="str">
        <f t="shared" ref="M98:M129" si="26">IMSUM(K98,E98)</f>
        <v>26.4176+4.36250880000001j</v>
      </c>
      <c r="O98" s="20" t="str">
        <f t="shared" ref="O98:O129" si="27">IMDIV(E98,M98)</f>
        <v>0.915969914518447-0.151260024098403j</v>
      </c>
      <c r="S98" s="20">
        <f t="shared" si="13"/>
        <v>0.92837518234449834</v>
      </c>
      <c r="U98" s="20">
        <f t="shared" si="4"/>
        <v>1.7671874999999999</v>
      </c>
      <c r="V98" s="20">
        <f t="shared" si="5"/>
        <v>1.0214285714285714</v>
      </c>
      <c r="X98" s="20">
        <f t="shared" si="24"/>
        <v>1E-3</v>
      </c>
      <c r="Y98" s="20">
        <f t="shared" si="6"/>
        <v>9.7100000000000009</v>
      </c>
      <c r="Z98" s="20">
        <f t="shared" si="25"/>
        <v>1.6000000000000008</v>
      </c>
      <c r="AA98" s="20">
        <f t="shared" si="14"/>
        <v>2.5600000000000023</v>
      </c>
      <c r="AB98" s="20">
        <f t="shared" si="15"/>
        <v>24.857600000000023</v>
      </c>
      <c r="AC98" s="20">
        <f t="shared" si="16"/>
        <v>1.5600000000000023</v>
      </c>
      <c r="AD98" s="20">
        <v>1</v>
      </c>
      <c r="AE98" s="20">
        <f t="shared" si="17"/>
        <v>1.5536000000000008E-2</v>
      </c>
      <c r="AF98" s="20" t="str">
        <f t="shared" si="18"/>
        <v>1+0.015536j</v>
      </c>
      <c r="AH98" s="20" t="str">
        <f t="shared" si="19"/>
        <v>1.56+0.02423616j</v>
      </c>
      <c r="AI98" s="20" t="str">
        <f t="shared" si="20"/>
        <v>26.4176+0.02423616j</v>
      </c>
      <c r="AK98" s="20" t="str">
        <f t="shared" si="21"/>
        <v>0.940947666637659-0.000863248675135401j</v>
      </c>
      <c r="AO98" s="20">
        <f t="shared" si="22"/>
        <v>0.94094806262042452</v>
      </c>
      <c r="AP98" s="20">
        <v>32</v>
      </c>
      <c r="AR98" s="20">
        <f>Compensation!$C$16</f>
        <v>1.1000000000000001</v>
      </c>
    </row>
    <row r="99" spans="1:44" s="20" customFormat="1" x14ac:dyDescent="0.15">
      <c r="A99" s="20">
        <f t="shared" si="0"/>
        <v>0.18</v>
      </c>
      <c r="B99" s="20">
        <f t="shared" si="1"/>
        <v>9.7100000000000009</v>
      </c>
      <c r="C99" s="20">
        <f t="shared" si="23"/>
        <v>1.6500000000000008</v>
      </c>
      <c r="D99" s="20">
        <f t="shared" si="7"/>
        <v>2.7225000000000028</v>
      </c>
      <c r="E99" s="20">
        <f t="shared" si="8"/>
        <v>26.435475000000029</v>
      </c>
      <c r="F99" s="20">
        <f t="shared" si="9"/>
        <v>1.7225000000000028</v>
      </c>
      <c r="G99" s="20">
        <f>1</f>
        <v>1</v>
      </c>
      <c r="H99" s="20">
        <f t="shared" si="10"/>
        <v>2.8838700000000017</v>
      </c>
      <c r="I99" s="20" t="str">
        <f t="shared" si="11"/>
        <v>1+2.88387j</v>
      </c>
      <c r="K99" s="20" t="str">
        <f t="shared" si="12"/>
        <v>1.7225+4.96746607500001j</v>
      </c>
      <c r="M99" s="20" t="str">
        <f t="shared" si="26"/>
        <v>28.157975+4.96746607500001j</v>
      </c>
      <c r="O99" s="20" t="str">
        <f t="shared" si="27"/>
        <v>0.910491009689556-0.160623525030666j</v>
      </c>
      <c r="S99" s="20">
        <f t="shared" si="13"/>
        <v>0.92455059110834159</v>
      </c>
      <c r="U99" s="20">
        <f t="shared" si="4"/>
        <v>1.7671874999999999</v>
      </c>
      <c r="V99" s="20">
        <f t="shared" si="5"/>
        <v>1.0214285714285714</v>
      </c>
      <c r="X99" s="20">
        <f t="shared" si="24"/>
        <v>1E-3</v>
      </c>
      <c r="Y99" s="20">
        <f t="shared" si="6"/>
        <v>9.7100000000000009</v>
      </c>
      <c r="Z99" s="20">
        <f t="shared" si="25"/>
        <v>1.6500000000000008</v>
      </c>
      <c r="AA99" s="20">
        <f t="shared" si="14"/>
        <v>2.7225000000000028</v>
      </c>
      <c r="AB99" s="20">
        <f t="shared" si="15"/>
        <v>26.435475000000029</v>
      </c>
      <c r="AC99" s="20">
        <f t="shared" si="16"/>
        <v>1.7225000000000028</v>
      </c>
      <c r="AD99" s="20">
        <v>1</v>
      </c>
      <c r="AE99" s="20">
        <f t="shared" si="17"/>
        <v>1.6021500000000011E-2</v>
      </c>
      <c r="AF99" s="20" t="str">
        <f t="shared" si="18"/>
        <v>1+0.0160215j</v>
      </c>
      <c r="AH99" s="20" t="str">
        <f t="shared" si="19"/>
        <v>1.7225+0.02759703375j</v>
      </c>
      <c r="AI99" s="20" t="str">
        <f t="shared" si="20"/>
        <v>28.157975+0.02759703375j</v>
      </c>
      <c r="AK99" s="20" t="str">
        <f t="shared" si="21"/>
        <v>0.938826375380767-0.000920123807439036j</v>
      </c>
      <c r="AO99" s="20">
        <f t="shared" si="22"/>
        <v>0.93882682627756753</v>
      </c>
      <c r="AP99" s="20">
        <v>33</v>
      </c>
      <c r="AR99" s="20">
        <f>Compensation!$C$16</f>
        <v>1.1000000000000001</v>
      </c>
    </row>
    <row r="100" spans="1:44" s="20" customFormat="1" x14ac:dyDescent="0.15">
      <c r="A100" s="20">
        <f t="shared" si="0"/>
        <v>0.18</v>
      </c>
      <c r="B100" s="20">
        <f t="shared" si="1"/>
        <v>9.7100000000000009</v>
      </c>
      <c r="C100" s="20">
        <f t="shared" si="23"/>
        <v>1.7000000000000008</v>
      </c>
      <c r="D100" s="20">
        <f t="shared" si="7"/>
        <v>2.8900000000000028</v>
      </c>
      <c r="E100" s="20">
        <f t="shared" si="8"/>
        <v>28.06190000000003</v>
      </c>
      <c r="F100" s="20">
        <f t="shared" si="9"/>
        <v>1.8900000000000028</v>
      </c>
      <c r="G100" s="20">
        <f>1</f>
        <v>1</v>
      </c>
      <c r="H100" s="20">
        <f t="shared" si="10"/>
        <v>2.9712600000000013</v>
      </c>
      <c r="I100" s="20" t="str">
        <f t="shared" si="11"/>
        <v>1+2.97126j</v>
      </c>
      <c r="K100" s="20" t="str">
        <f t="shared" si="12"/>
        <v>1.89+5.61568140000001j</v>
      </c>
      <c r="M100" s="20" t="str">
        <f t="shared" si="26"/>
        <v>29.9519+5.61568140000001j</v>
      </c>
      <c r="O100" s="20" t="str">
        <f t="shared" si="27"/>
        <v>0.905082904641882-0.169693983789189j</v>
      </c>
      <c r="S100" s="20">
        <f t="shared" si="13"/>
        <v>0.92085346956463798</v>
      </c>
      <c r="U100" s="20">
        <f t="shared" si="4"/>
        <v>1.7671874999999999</v>
      </c>
      <c r="V100" s="20">
        <f t="shared" si="5"/>
        <v>1.0214285714285714</v>
      </c>
      <c r="X100" s="20">
        <f t="shared" si="24"/>
        <v>1E-3</v>
      </c>
      <c r="Y100" s="20">
        <f t="shared" si="6"/>
        <v>9.7100000000000009</v>
      </c>
      <c r="Z100" s="20">
        <f t="shared" si="25"/>
        <v>1.7000000000000008</v>
      </c>
      <c r="AA100" s="20">
        <f t="shared" si="14"/>
        <v>2.8900000000000028</v>
      </c>
      <c r="AB100" s="20">
        <f t="shared" si="15"/>
        <v>28.06190000000003</v>
      </c>
      <c r="AC100" s="20">
        <f t="shared" si="16"/>
        <v>1.8900000000000028</v>
      </c>
      <c r="AD100" s="20">
        <v>1</v>
      </c>
      <c r="AE100" s="20">
        <f t="shared" si="17"/>
        <v>1.6507000000000008E-2</v>
      </c>
      <c r="AF100" s="20" t="str">
        <f t="shared" si="18"/>
        <v>1+0.016507j</v>
      </c>
      <c r="AH100" s="20" t="str">
        <f t="shared" si="19"/>
        <v>1.89+0.03119823j</v>
      </c>
      <c r="AI100" s="20" t="str">
        <f t="shared" si="20"/>
        <v>29.9519+0.03119823j</v>
      </c>
      <c r="AK100" s="20" t="str">
        <f t="shared" si="21"/>
        <v>0.936897811296586-0.000975883112701615j</v>
      </c>
      <c r="AO100" s="20">
        <f t="shared" si="22"/>
        <v>0.93689831954176483</v>
      </c>
      <c r="AP100" s="20">
        <v>34</v>
      </c>
      <c r="AR100" s="20">
        <f>Compensation!$C$16</f>
        <v>1.1000000000000001</v>
      </c>
    </row>
    <row r="101" spans="1:44" s="20" customFormat="1" x14ac:dyDescent="0.15">
      <c r="A101" s="20">
        <f t="shared" si="0"/>
        <v>0.18</v>
      </c>
      <c r="B101" s="20">
        <f t="shared" si="1"/>
        <v>9.7100000000000009</v>
      </c>
      <c r="C101" s="20">
        <f t="shared" si="23"/>
        <v>1.7500000000000009</v>
      </c>
      <c r="D101" s="20">
        <f t="shared" si="7"/>
        <v>3.0625000000000031</v>
      </c>
      <c r="E101" s="20">
        <f t="shared" si="8"/>
        <v>29.736875000000033</v>
      </c>
      <c r="F101" s="20">
        <f t="shared" si="9"/>
        <v>2.0625000000000031</v>
      </c>
      <c r="G101" s="20">
        <f>1</f>
        <v>1</v>
      </c>
      <c r="H101" s="20">
        <f t="shared" si="10"/>
        <v>3.0586500000000019</v>
      </c>
      <c r="I101" s="20" t="str">
        <f t="shared" si="11"/>
        <v>1+3.05865j</v>
      </c>
      <c r="K101" s="20" t="str">
        <f t="shared" si="12"/>
        <v>2.0625+6.30846562500001j</v>
      </c>
      <c r="M101" s="20" t="str">
        <f t="shared" si="26"/>
        <v>31.799375+6.30846562500001j</v>
      </c>
      <c r="O101" s="20" t="str">
        <f t="shared" si="27"/>
        <v>0.899730493437141-0.178491523484738j</v>
      </c>
      <c r="S101" s="20">
        <f t="shared" si="13"/>
        <v>0.91726451189204095</v>
      </c>
      <c r="U101" s="20">
        <f t="shared" si="4"/>
        <v>1.7671874999999999</v>
      </c>
      <c r="V101" s="20">
        <f t="shared" si="5"/>
        <v>1.0214285714285714</v>
      </c>
      <c r="X101" s="20">
        <f t="shared" si="24"/>
        <v>1E-3</v>
      </c>
      <c r="Y101" s="20">
        <f t="shared" si="6"/>
        <v>9.7100000000000009</v>
      </c>
      <c r="Z101" s="20">
        <f t="shared" si="25"/>
        <v>1.7500000000000009</v>
      </c>
      <c r="AA101" s="20">
        <f t="shared" si="14"/>
        <v>3.0625000000000031</v>
      </c>
      <c r="AB101" s="20">
        <f t="shared" si="15"/>
        <v>29.736875000000033</v>
      </c>
      <c r="AC101" s="20">
        <f t="shared" si="16"/>
        <v>2.0625000000000031</v>
      </c>
      <c r="AD101" s="20">
        <v>1</v>
      </c>
      <c r="AE101" s="20">
        <f t="shared" si="17"/>
        <v>1.6992500000000011E-2</v>
      </c>
      <c r="AF101" s="20" t="str">
        <f t="shared" si="18"/>
        <v>1+0.0169925j</v>
      </c>
      <c r="AH101" s="20" t="str">
        <f t="shared" si="19"/>
        <v>2.0625+0.0350470312500001j</v>
      </c>
      <c r="AI101" s="20" t="str">
        <f t="shared" si="20"/>
        <v>31.799375+0.0350470312500001j</v>
      </c>
      <c r="AK101" s="20" t="str">
        <f t="shared" si="21"/>
        <v>0.935139098770713-0.00103064444561298j</v>
      </c>
      <c r="AO101" s="20">
        <f t="shared" si="22"/>
        <v>0.93513966672239623</v>
      </c>
      <c r="AP101" s="20">
        <v>35</v>
      </c>
      <c r="AR101" s="20">
        <f>Compensation!$C$16</f>
        <v>1.1000000000000001</v>
      </c>
    </row>
    <row r="102" spans="1:44" s="20" customFormat="1" x14ac:dyDescent="0.15">
      <c r="A102" s="20">
        <f t="shared" si="0"/>
        <v>0.18</v>
      </c>
      <c r="B102" s="20">
        <f t="shared" si="1"/>
        <v>9.7100000000000009</v>
      </c>
      <c r="C102" s="20">
        <f t="shared" si="23"/>
        <v>1.8000000000000009</v>
      </c>
      <c r="D102" s="20">
        <f t="shared" si="7"/>
        <v>3.2400000000000033</v>
      </c>
      <c r="E102" s="20">
        <f t="shared" si="8"/>
        <v>31.460400000000035</v>
      </c>
      <c r="F102" s="20">
        <f t="shared" si="9"/>
        <v>2.2400000000000033</v>
      </c>
      <c r="G102" s="20">
        <f>1</f>
        <v>1</v>
      </c>
      <c r="H102" s="20">
        <f t="shared" si="10"/>
        <v>3.1460400000000019</v>
      </c>
      <c r="I102" s="20" t="str">
        <f t="shared" si="11"/>
        <v>1+3.14604j</v>
      </c>
      <c r="K102" s="20" t="str">
        <f t="shared" si="12"/>
        <v>2.24+7.04712960000001j</v>
      </c>
      <c r="M102" s="20" t="str">
        <f t="shared" si="26"/>
        <v>33.7004+7.04712960000001j</v>
      </c>
      <c r="O102" s="20" t="str">
        <f t="shared" si="27"/>
        <v>0.894421166524011-0.187033444038584j</v>
      </c>
      <c r="S102" s="20">
        <f t="shared" si="13"/>
        <v>0.91376732941986216</v>
      </c>
      <c r="U102" s="20">
        <f t="shared" si="4"/>
        <v>1.7671874999999999</v>
      </c>
      <c r="V102" s="20">
        <f t="shared" si="5"/>
        <v>1.0214285714285714</v>
      </c>
      <c r="X102" s="20">
        <f t="shared" si="24"/>
        <v>1E-3</v>
      </c>
      <c r="Y102" s="20">
        <f t="shared" si="6"/>
        <v>9.7100000000000009</v>
      </c>
      <c r="Z102" s="20">
        <f t="shared" si="25"/>
        <v>1.8000000000000009</v>
      </c>
      <c r="AA102" s="20">
        <f t="shared" si="14"/>
        <v>3.2400000000000033</v>
      </c>
      <c r="AB102" s="20">
        <f t="shared" si="15"/>
        <v>31.460400000000035</v>
      </c>
      <c r="AC102" s="20">
        <f t="shared" si="16"/>
        <v>2.2400000000000033</v>
      </c>
      <c r="AD102" s="20">
        <v>1</v>
      </c>
      <c r="AE102" s="20">
        <f t="shared" si="17"/>
        <v>1.7478000000000011E-2</v>
      </c>
      <c r="AF102" s="20" t="str">
        <f t="shared" si="18"/>
        <v>1+0.017478j</v>
      </c>
      <c r="AH102" s="20" t="str">
        <f t="shared" si="19"/>
        <v>2.24+0.0391507200000001j</v>
      </c>
      <c r="AI102" s="20" t="str">
        <f t="shared" si="20"/>
        <v>33.7004+0.0391507200000001j</v>
      </c>
      <c r="AK102" s="20" t="str">
        <f t="shared" si="21"/>
        <v>0.933530686302791-0.00108450933849j</v>
      </c>
      <c r="AO102" s="20">
        <f t="shared" si="22"/>
        <v>0.93353131625536023</v>
      </c>
      <c r="AP102" s="20">
        <v>36</v>
      </c>
      <c r="AR102" s="20">
        <f>Compensation!$C$16</f>
        <v>1.1000000000000001</v>
      </c>
    </row>
    <row r="103" spans="1:44" s="20" customFormat="1" x14ac:dyDescent="0.15">
      <c r="A103" s="20">
        <f t="shared" si="0"/>
        <v>0.18</v>
      </c>
      <c r="B103" s="20">
        <f t="shared" si="1"/>
        <v>9.7100000000000009</v>
      </c>
      <c r="C103" s="20">
        <f t="shared" si="23"/>
        <v>1.850000000000001</v>
      </c>
      <c r="D103" s="20">
        <f t="shared" si="7"/>
        <v>3.4225000000000034</v>
      </c>
      <c r="E103" s="20">
        <f t="shared" si="8"/>
        <v>33.232475000000036</v>
      </c>
      <c r="F103" s="20">
        <f t="shared" si="9"/>
        <v>2.4225000000000034</v>
      </c>
      <c r="G103" s="20">
        <f>1</f>
        <v>1</v>
      </c>
      <c r="H103" s="20">
        <f t="shared" si="10"/>
        <v>3.2334300000000016</v>
      </c>
      <c r="I103" s="20" t="str">
        <f t="shared" si="11"/>
        <v>1+3.23343j</v>
      </c>
      <c r="K103" s="20" t="str">
        <f t="shared" si="12"/>
        <v>2.4225+7.83298417500001j</v>
      </c>
      <c r="M103" s="20" t="str">
        <f t="shared" si="26"/>
        <v>35.654975+7.83298417500001j</v>
      </c>
      <c r="O103" s="20" t="str">
        <f t="shared" si="27"/>
        <v>0.889144399878954-0.195334704723302j</v>
      </c>
      <c r="S103" s="20">
        <f t="shared" si="13"/>
        <v>0.91034796133426077</v>
      </c>
      <c r="U103" s="20">
        <f t="shared" si="4"/>
        <v>1.7671874999999999</v>
      </c>
      <c r="V103" s="20">
        <f t="shared" si="5"/>
        <v>1.0214285714285714</v>
      </c>
      <c r="X103" s="20">
        <f t="shared" si="24"/>
        <v>1E-3</v>
      </c>
      <c r="Y103" s="20">
        <f t="shared" si="6"/>
        <v>9.7100000000000009</v>
      </c>
      <c r="Z103" s="20">
        <f t="shared" si="25"/>
        <v>1.850000000000001</v>
      </c>
      <c r="AA103" s="20">
        <f t="shared" si="14"/>
        <v>3.4225000000000034</v>
      </c>
      <c r="AB103" s="20">
        <f t="shared" si="15"/>
        <v>33.232475000000036</v>
      </c>
      <c r="AC103" s="20">
        <f t="shared" si="16"/>
        <v>2.4225000000000034</v>
      </c>
      <c r="AD103" s="20">
        <v>1</v>
      </c>
      <c r="AE103" s="20">
        <f t="shared" si="17"/>
        <v>1.7963500000000011E-2</v>
      </c>
      <c r="AF103" s="20" t="str">
        <f t="shared" si="18"/>
        <v>1+0.0179635j</v>
      </c>
      <c r="AH103" s="20" t="str">
        <f t="shared" si="19"/>
        <v>2.4225+0.0435165787500001j</v>
      </c>
      <c r="AI103" s="20" t="str">
        <f t="shared" si="20"/>
        <v>35.654975+0.0435165787500001j</v>
      </c>
      <c r="AK103" s="20" t="str">
        <f t="shared" si="21"/>
        <v>0.932055778948943-0.00113756575916893j</v>
      </c>
      <c r="AO103" s="20">
        <f t="shared" si="22"/>
        <v>0.93205647314311224</v>
      </c>
      <c r="AP103" s="20">
        <v>37</v>
      </c>
      <c r="AR103" s="20">
        <f>Compensation!$C$16</f>
        <v>1.1000000000000001</v>
      </c>
    </row>
    <row r="104" spans="1:44" s="20" customFormat="1" x14ac:dyDescent="0.15">
      <c r="A104" s="20">
        <f t="shared" si="0"/>
        <v>0.18</v>
      </c>
      <c r="B104" s="20">
        <f t="shared" si="1"/>
        <v>9.7100000000000009</v>
      </c>
      <c r="C104" s="20">
        <f t="shared" si="23"/>
        <v>1.900000000000001</v>
      </c>
      <c r="D104" s="20">
        <f t="shared" si="7"/>
        <v>3.6100000000000039</v>
      </c>
      <c r="E104" s="20">
        <f t="shared" si="8"/>
        <v>35.053100000000043</v>
      </c>
      <c r="F104" s="20">
        <f t="shared" si="9"/>
        <v>2.6100000000000039</v>
      </c>
      <c r="G104" s="20">
        <f>1</f>
        <v>1</v>
      </c>
      <c r="H104" s="20">
        <f t="shared" si="10"/>
        <v>3.3208200000000021</v>
      </c>
      <c r="I104" s="20" t="str">
        <f t="shared" si="11"/>
        <v>1+3.32082j</v>
      </c>
      <c r="K104" s="20" t="str">
        <f t="shared" si="12"/>
        <v>2.61+8.66734020000001j</v>
      </c>
      <c r="M104" s="20" t="str">
        <f t="shared" si="26"/>
        <v>37.6631+8.66734020000001j</v>
      </c>
      <c r="O104" s="20" t="str">
        <f t="shared" si="27"/>
        <v>0.883891420259188-0.203408313156579j</v>
      </c>
      <c r="S104" s="20">
        <f t="shared" si="13"/>
        <v>0.90699447885255036</v>
      </c>
      <c r="U104" s="20">
        <f t="shared" si="4"/>
        <v>1.7671874999999999</v>
      </c>
      <c r="V104" s="20">
        <f t="shared" si="5"/>
        <v>1.0214285714285714</v>
      </c>
      <c r="X104" s="20">
        <f t="shared" si="24"/>
        <v>1E-3</v>
      </c>
      <c r="Y104" s="20">
        <f t="shared" si="6"/>
        <v>9.7100000000000009</v>
      </c>
      <c r="Z104" s="20">
        <f t="shared" si="25"/>
        <v>1.900000000000001</v>
      </c>
      <c r="AA104" s="20">
        <f t="shared" si="14"/>
        <v>3.6100000000000039</v>
      </c>
      <c r="AB104" s="20">
        <f t="shared" si="15"/>
        <v>35.053100000000043</v>
      </c>
      <c r="AC104" s="20">
        <f t="shared" si="16"/>
        <v>2.6100000000000039</v>
      </c>
      <c r="AD104" s="20">
        <v>1</v>
      </c>
      <c r="AE104" s="20">
        <f t="shared" si="17"/>
        <v>1.8449000000000014E-2</v>
      </c>
      <c r="AF104" s="20" t="str">
        <f t="shared" si="18"/>
        <v>1+0.018449j</v>
      </c>
      <c r="AH104" s="20" t="str">
        <f t="shared" si="19"/>
        <v>2.61+0.0481518900000001j</v>
      </c>
      <c r="AI104" s="20" t="str">
        <f t="shared" si="20"/>
        <v>37.6631+0.0481518900000001j</v>
      </c>
      <c r="AK104" s="20" t="str">
        <f t="shared" si="21"/>
        <v>0.930699881436525-0.00118989032538332j</v>
      </c>
      <c r="AO104" s="20">
        <f t="shared" si="22"/>
        <v>0.93070064206754899</v>
      </c>
      <c r="AP104" s="20">
        <v>38</v>
      </c>
      <c r="AR104" s="20">
        <f>Compensation!$C$16</f>
        <v>1.1000000000000001</v>
      </c>
    </row>
    <row r="105" spans="1:44" s="20" customFormat="1" x14ac:dyDescent="0.15">
      <c r="A105" s="20">
        <f t="shared" si="0"/>
        <v>0.18</v>
      </c>
      <c r="B105" s="20">
        <f t="shared" si="1"/>
        <v>9.7100000000000009</v>
      </c>
      <c r="C105" s="20">
        <f t="shared" si="23"/>
        <v>1.9500000000000011</v>
      </c>
      <c r="D105" s="20">
        <f t="shared" si="7"/>
        <v>3.8025000000000042</v>
      </c>
      <c r="E105" s="20">
        <f t="shared" si="8"/>
        <v>36.922275000000042</v>
      </c>
      <c r="F105" s="20">
        <f t="shared" si="9"/>
        <v>2.8025000000000042</v>
      </c>
      <c r="G105" s="20">
        <f>1</f>
        <v>1</v>
      </c>
      <c r="H105" s="20">
        <f t="shared" si="10"/>
        <v>3.4082100000000017</v>
      </c>
      <c r="I105" s="20" t="str">
        <f t="shared" si="11"/>
        <v>1+3.40821j</v>
      </c>
      <c r="K105" s="20" t="str">
        <f t="shared" si="12"/>
        <v>2.8025+9.55150852500002j</v>
      </c>
      <c r="M105" s="20" t="str">
        <f t="shared" si="26"/>
        <v>39.724775+9.55150852500002j</v>
      </c>
      <c r="O105" s="20" t="str">
        <f t="shared" si="27"/>
        <v>0.878654930760199-0.211265641194679j</v>
      </c>
      <c r="S105" s="20">
        <f t="shared" si="13"/>
        <v>0.90369666287898232</v>
      </c>
      <c r="U105" s="20">
        <f t="shared" si="4"/>
        <v>1.7671874999999999</v>
      </c>
      <c r="V105" s="20">
        <f t="shared" si="5"/>
        <v>1.0214285714285714</v>
      </c>
      <c r="X105" s="20">
        <f t="shared" si="24"/>
        <v>1E-3</v>
      </c>
      <c r="Y105" s="20">
        <f t="shared" si="6"/>
        <v>9.7100000000000009</v>
      </c>
      <c r="Z105" s="20">
        <f t="shared" si="25"/>
        <v>1.9500000000000011</v>
      </c>
      <c r="AA105" s="20">
        <f t="shared" si="14"/>
        <v>3.8025000000000042</v>
      </c>
      <c r="AB105" s="20">
        <f t="shared" si="15"/>
        <v>36.922275000000042</v>
      </c>
      <c r="AC105" s="20">
        <f t="shared" si="16"/>
        <v>2.8025000000000042</v>
      </c>
      <c r="AD105" s="20">
        <v>1</v>
      </c>
      <c r="AE105" s="20">
        <f t="shared" si="17"/>
        <v>1.893450000000001E-2</v>
      </c>
      <c r="AF105" s="20" t="str">
        <f t="shared" si="18"/>
        <v>1+0.0189345j</v>
      </c>
      <c r="AH105" s="20" t="str">
        <f t="shared" si="19"/>
        <v>2.8025+0.0530639362500001j</v>
      </c>
      <c r="AI105" s="20" t="str">
        <f t="shared" si="20"/>
        <v>39.724775+0.0530639362500001j</v>
      </c>
      <c r="AK105" s="20" t="str">
        <f t="shared" si="21"/>
        <v>0.929450427811482-0.00124155009685829j</v>
      </c>
      <c r="AO105" s="20">
        <f t="shared" si="22"/>
        <v>0.92945125703588671</v>
      </c>
      <c r="AP105" s="20">
        <v>39</v>
      </c>
      <c r="AR105" s="20">
        <f>Compensation!$C$16</f>
        <v>1.1000000000000001</v>
      </c>
    </row>
    <row r="106" spans="1:44" s="20" customFormat="1" x14ac:dyDescent="0.15">
      <c r="A106" s="20">
        <f t="shared" si="0"/>
        <v>0.18</v>
      </c>
      <c r="B106" s="20">
        <f t="shared" si="1"/>
        <v>9.7100000000000009</v>
      </c>
      <c r="C106" s="20">
        <f t="shared" si="23"/>
        <v>2.0000000000000009</v>
      </c>
      <c r="D106" s="20">
        <f t="shared" si="7"/>
        <v>4.0000000000000036</v>
      </c>
      <c r="E106" s="20">
        <f t="shared" si="8"/>
        <v>38.840000000000039</v>
      </c>
      <c r="F106" s="20">
        <f t="shared" si="9"/>
        <v>3.0000000000000036</v>
      </c>
      <c r="G106" s="20">
        <f>1</f>
        <v>1</v>
      </c>
      <c r="H106" s="20">
        <f t="shared" si="10"/>
        <v>3.4956000000000014</v>
      </c>
      <c r="I106" s="20" t="str">
        <f t="shared" si="11"/>
        <v>1+3.4956j</v>
      </c>
      <c r="K106" s="20" t="str">
        <f t="shared" si="12"/>
        <v>3+10.4868j</v>
      </c>
      <c r="M106" s="20" t="str">
        <f t="shared" si="26"/>
        <v>41.84+10.4868j</v>
      </c>
      <c r="O106" s="20" t="str">
        <f t="shared" si="27"/>
        <v>0.873428884475624-0.218916683215081j</v>
      </c>
      <c r="S106" s="20">
        <f t="shared" si="13"/>
        <v>0.90044573985678056</v>
      </c>
      <c r="U106" s="20">
        <f t="shared" si="4"/>
        <v>1.7671874999999999</v>
      </c>
      <c r="V106" s="20">
        <f t="shared" si="5"/>
        <v>1.0214285714285714</v>
      </c>
      <c r="X106" s="20">
        <f t="shared" si="24"/>
        <v>1E-3</v>
      </c>
      <c r="Y106" s="20">
        <f t="shared" si="6"/>
        <v>9.7100000000000009</v>
      </c>
      <c r="Z106" s="20">
        <f t="shared" si="25"/>
        <v>2.0000000000000009</v>
      </c>
      <c r="AA106" s="20">
        <f t="shared" si="14"/>
        <v>4.0000000000000036</v>
      </c>
      <c r="AB106" s="20">
        <f t="shared" si="15"/>
        <v>38.840000000000039</v>
      </c>
      <c r="AC106" s="20">
        <f t="shared" si="16"/>
        <v>3.0000000000000036</v>
      </c>
      <c r="AD106" s="20">
        <v>1</v>
      </c>
      <c r="AE106" s="20">
        <f t="shared" si="17"/>
        <v>1.942000000000001E-2</v>
      </c>
      <c r="AF106" s="20" t="str">
        <f t="shared" si="18"/>
        <v>1+0.01942j</v>
      </c>
      <c r="AH106" s="20" t="str">
        <f t="shared" si="19"/>
        <v>3+0.0582600000000001j</v>
      </c>
      <c r="AI106" s="20" t="str">
        <f t="shared" si="20"/>
        <v>41.84+0.0582600000000001j</v>
      </c>
      <c r="AK106" s="20" t="str">
        <f t="shared" si="21"/>
        <v>0.928296479275547-0.00129260403639086j</v>
      </c>
      <c r="AO106" s="20">
        <f t="shared" si="22"/>
        <v>0.92829737921668787</v>
      </c>
      <c r="AP106" s="20">
        <v>40</v>
      </c>
      <c r="AR106" s="20">
        <f>Compensation!$C$16</f>
        <v>1.1000000000000001</v>
      </c>
    </row>
    <row r="107" spans="1:44" s="20" customFormat="1" x14ac:dyDescent="0.15">
      <c r="A107" s="20">
        <f t="shared" si="0"/>
        <v>0.18</v>
      </c>
      <c r="B107" s="20">
        <f t="shared" si="1"/>
        <v>9.7100000000000009</v>
      </c>
      <c r="C107" s="20">
        <f t="shared" si="23"/>
        <v>2.0500000000000007</v>
      </c>
      <c r="D107" s="20">
        <f t="shared" si="7"/>
        <v>4.2025000000000032</v>
      </c>
      <c r="E107" s="20">
        <f t="shared" si="8"/>
        <v>40.806275000000035</v>
      </c>
      <c r="F107" s="20">
        <f t="shared" si="9"/>
        <v>3.2025000000000032</v>
      </c>
      <c r="G107" s="20">
        <f>1</f>
        <v>1</v>
      </c>
      <c r="H107" s="20">
        <f t="shared" si="10"/>
        <v>3.582990000000001</v>
      </c>
      <c r="I107" s="20" t="str">
        <f t="shared" si="11"/>
        <v>1+3.58299j</v>
      </c>
      <c r="K107" s="20" t="str">
        <f t="shared" si="12"/>
        <v>3.2025+11.474525475j</v>
      </c>
      <c r="M107" s="20" t="str">
        <f t="shared" si="26"/>
        <v>44.008775+11.474525475j</v>
      </c>
      <c r="O107" s="20" t="str">
        <f t="shared" si="27"/>
        <v>0.868208296772575-0.226370268632182j</v>
      </c>
      <c r="S107" s="20">
        <f t="shared" si="13"/>
        <v>0.89723416403152079</v>
      </c>
      <c r="U107" s="20">
        <f t="shared" si="4"/>
        <v>1.7671874999999999</v>
      </c>
      <c r="V107" s="20">
        <f t="shared" si="5"/>
        <v>1.0214285714285714</v>
      </c>
      <c r="X107" s="20">
        <f t="shared" si="24"/>
        <v>1E-3</v>
      </c>
      <c r="Y107" s="20">
        <f t="shared" si="6"/>
        <v>9.7100000000000009</v>
      </c>
      <c r="Z107" s="20">
        <f t="shared" si="25"/>
        <v>2.0500000000000007</v>
      </c>
      <c r="AA107" s="20">
        <f t="shared" si="14"/>
        <v>4.2025000000000032</v>
      </c>
      <c r="AB107" s="20">
        <f t="shared" si="15"/>
        <v>40.806275000000035</v>
      </c>
      <c r="AC107" s="20">
        <f t="shared" si="16"/>
        <v>3.2025000000000032</v>
      </c>
      <c r="AD107" s="20">
        <v>1</v>
      </c>
      <c r="AE107" s="20">
        <f t="shared" si="17"/>
        <v>1.9905500000000007E-2</v>
      </c>
      <c r="AF107" s="20" t="str">
        <f t="shared" si="18"/>
        <v>1+0.0199055j</v>
      </c>
      <c r="AH107" s="20" t="str">
        <f t="shared" si="19"/>
        <v>3.2025+0.0637473637500001j</v>
      </c>
      <c r="AI107" s="20" t="str">
        <f t="shared" si="20"/>
        <v>44.008775+0.0637473637500001j</v>
      </c>
      <c r="AK107" s="20" t="str">
        <f t="shared" si="21"/>
        <v>0.927228476153846-0.00134310420930229j</v>
      </c>
      <c r="AO107" s="20">
        <f t="shared" si="22"/>
        <v>0.92722944890652625</v>
      </c>
      <c r="AP107" s="20">
        <v>41</v>
      </c>
      <c r="AR107" s="20">
        <f>Compensation!$C$16</f>
        <v>1.1000000000000001</v>
      </c>
    </row>
    <row r="108" spans="1:44" s="20" customFormat="1" x14ac:dyDescent="0.15">
      <c r="A108" s="20">
        <f t="shared" si="0"/>
        <v>0.18</v>
      </c>
      <c r="B108" s="20">
        <f t="shared" si="1"/>
        <v>9.7100000000000009</v>
      </c>
      <c r="C108" s="20">
        <f t="shared" si="23"/>
        <v>2.1000000000000005</v>
      </c>
      <c r="D108" s="20">
        <f t="shared" si="7"/>
        <v>4.4100000000000019</v>
      </c>
      <c r="E108" s="20">
        <f t="shared" si="8"/>
        <v>42.821100000000023</v>
      </c>
      <c r="F108" s="20">
        <f t="shared" si="9"/>
        <v>3.4100000000000019</v>
      </c>
      <c r="G108" s="20">
        <f>1</f>
        <v>1</v>
      </c>
      <c r="H108" s="20">
        <f t="shared" si="10"/>
        <v>3.6703800000000006</v>
      </c>
      <c r="I108" s="20" t="str">
        <f t="shared" si="11"/>
        <v>1+3.67038j</v>
      </c>
      <c r="K108" s="20" t="str">
        <f t="shared" si="12"/>
        <v>3.41+12.5159958j</v>
      </c>
      <c r="M108" s="20" t="str">
        <f t="shared" si="26"/>
        <v>46.2311+12.5159958j</v>
      </c>
      <c r="O108" s="20" t="str">
        <f t="shared" si="27"/>
        <v>0.862989088755976-0.233634237781831j</v>
      </c>
      <c r="S108" s="20">
        <f t="shared" si="13"/>
        <v>0.89405543697008361</v>
      </c>
      <c r="U108" s="20">
        <f t="shared" si="4"/>
        <v>1.7671874999999999</v>
      </c>
      <c r="V108" s="20">
        <f t="shared" si="5"/>
        <v>1.0214285714285714</v>
      </c>
      <c r="X108" s="20">
        <f t="shared" si="24"/>
        <v>1E-3</v>
      </c>
      <c r="Y108" s="20">
        <f t="shared" si="6"/>
        <v>9.7100000000000009</v>
      </c>
      <c r="Z108" s="20">
        <f t="shared" si="25"/>
        <v>2.1000000000000005</v>
      </c>
      <c r="AA108" s="20">
        <f t="shared" si="14"/>
        <v>4.4100000000000019</v>
      </c>
      <c r="AB108" s="20">
        <f t="shared" si="15"/>
        <v>42.821100000000023</v>
      </c>
      <c r="AC108" s="20">
        <f t="shared" si="16"/>
        <v>3.4100000000000019</v>
      </c>
      <c r="AD108" s="20">
        <v>1</v>
      </c>
      <c r="AE108" s="20">
        <f t="shared" si="17"/>
        <v>2.0391000000000006E-2</v>
      </c>
      <c r="AF108" s="20" t="str">
        <f t="shared" si="18"/>
        <v>1+0.020391j</v>
      </c>
      <c r="AH108" s="20" t="str">
        <f t="shared" si="19"/>
        <v>3.41+0.06953331j</v>
      </c>
      <c r="AI108" s="20" t="str">
        <f t="shared" si="20"/>
        <v>46.2311+0.06953331j</v>
      </c>
      <c r="AK108" s="20" t="str">
        <f t="shared" si="21"/>
        <v>0.926238033128568-0.0013930967744942j</v>
      </c>
      <c r="AO108" s="20">
        <f t="shared" si="22"/>
        <v>0.92623908076289962</v>
      </c>
      <c r="AP108" s="20">
        <v>42</v>
      </c>
      <c r="AR108" s="20">
        <f>Compensation!$C$16</f>
        <v>1.1000000000000001</v>
      </c>
    </row>
    <row r="109" spans="1:44" s="20" customFormat="1" x14ac:dyDescent="0.15">
      <c r="A109" s="20">
        <f t="shared" si="0"/>
        <v>0.18</v>
      </c>
      <c r="B109" s="20">
        <f t="shared" si="1"/>
        <v>9.7100000000000009</v>
      </c>
      <c r="C109" s="20">
        <f t="shared" si="23"/>
        <v>2.1500000000000004</v>
      </c>
      <c r="D109" s="20">
        <f t="shared" si="7"/>
        <v>4.6225000000000014</v>
      </c>
      <c r="E109" s="20">
        <f t="shared" si="8"/>
        <v>44.884475000000016</v>
      </c>
      <c r="F109" s="20">
        <f t="shared" si="9"/>
        <v>3.6225000000000014</v>
      </c>
      <c r="G109" s="20">
        <f>1</f>
        <v>1</v>
      </c>
      <c r="H109" s="20">
        <f t="shared" si="10"/>
        <v>3.7577700000000007</v>
      </c>
      <c r="I109" s="20" t="str">
        <f t="shared" si="11"/>
        <v>1+3.75777j</v>
      </c>
      <c r="K109" s="20" t="str">
        <f t="shared" si="12"/>
        <v>3.6225+13.612521825j</v>
      </c>
      <c r="M109" s="20" t="str">
        <f t="shared" si="26"/>
        <v>48.506975+13.612521825j</v>
      </c>
      <c r="O109" s="20" t="str">
        <f t="shared" si="27"/>
        <v>0.857767956070721-0.240715588279796j</v>
      </c>
      <c r="S109" s="20">
        <f t="shared" si="13"/>
        <v>0.89090395717082249</v>
      </c>
      <c r="U109" s="20">
        <f t="shared" si="4"/>
        <v>1.7671874999999999</v>
      </c>
      <c r="V109" s="20">
        <f t="shared" si="5"/>
        <v>1.0214285714285714</v>
      </c>
      <c r="X109" s="20">
        <f t="shared" si="24"/>
        <v>1E-3</v>
      </c>
      <c r="Y109" s="20">
        <f t="shared" si="6"/>
        <v>9.7100000000000009</v>
      </c>
      <c r="Z109" s="20">
        <f t="shared" si="25"/>
        <v>2.1500000000000004</v>
      </c>
      <c r="AA109" s="20">
        <f t="shared" si="14"/>
        <v>4.6225000000000014</v>
      </c>
      <c r="AB109" s="20">
        <f t="shared" si="15"/>
        <v>44.884475000000016</v>
      </c>
      <c r="AC109" s="20">
        <f t="shared" si="16"/>
        <v>3.6225000000000014</v>
      </c>
      <c r="AD109" s="20">
        <v>1</v>
      </c>
      <c r="AE109" s="20">
        <f t="shared" si="17"/>
        <v>2.0876500000000003E-2</v>
      </c>
      <c r="AF109" s="20" t="str">
        <f t="shared" si="18"/>
        <v>1+0.0208765j</v>
      </c>
      <c r="AH109" s="20" t="str">
        <f t="shared" si="19"/>
        <v>3.6225+0.07562512125j</v>
      </c>
      <c r="AI109" s="20" t="str">
        <f t="shared" si="20"/>
        <v>48.506975+0.07562512125j</v>
      </c>
      <c r="AK109" s="20" t="str">
        <f t="shared" si="21"/>
        <v>0.925317769279062-0.00144262280829733j</v>
      </c>
      <c r="AO109" s="20">
        <f t="shared" si="22"/>
        <v>0.92531889384370969</v>
      </c>
      <c r="AP109" s="20">
        <v>43</v>
      </c>
      <c r="AR109" s="20">
        <f>Compensation!$C$16</f>
        <v>1.1000000000000001</v>
      </c>
    </row>
    <row r="110" spans="1:44" s="20" customFormat="1" x14ac:dyDescent="0.15">
      <c r="A110" s="20">
        <f t="shared" si="0"/>
        <v>0.18</v>
      </c>
      <c r="B110" s="20">
        <f t="shared" si="1"/>
        <v>9.7100000000000009</v>
      </c>
      <c r="C110" s="20">
        <f t="shared" si="23"/>
        <v>2.2000000000000002</v>
      </c>
      <c r="D110" s="20">
        <f t="shared" si="7"/>
        <v>4.8400000000000007</v>
      </c>
      <c r="E110" s="20">
        <f t="shared" si="8"/>
        <v>46.996400000000008</v>
      </c>
      <c r="F110" s="20">
        <f t="shared" si="9"/>
        <v>3.8400000000000007</v>
      </c>
      <c r="G110" s="20">
        <f>1</f>
        <v>1</v>
      </c>
      <c r="H110" s="20">
        <f t="shared" si="10"/>
        <v>3.8451600000000004</v>
      </c>
      <c r="I110" s="20" t="str">
        <f t="shared" si="11"/>
        <v>1+3.84516j</v>
      </c>
      <c r="K110" s="20" t="str">
        <f t="shared" si="12"/>
        <v>3.84+14.7654144j</v>
      </c>
      <c r="M110" s="20" t="str">
        <f t="shared" si="26"/>
        <v>50.8364+14.7654144j</v>
      </c>
      <c r="O110" s="20" t="str">
        <f t="shared" si="27"/>
        <v>0.852542258402932-0.247620597422933j</v>
      </c>
      <c r="S110" s="20">
        <f t="shared" si="13"/>
        <v>0.88777489412061084</v>
      </c>
      <c r="U110" s="20">
        <f t="shared" si="4"/>
        <v>1.7671874999999999</v>
      </c>
      <c r="V110" s="20">
        <f t="shared" si="5"/>
        <v>1.0214285714285714</v>
      </c>
      <c r="X110" s="20">
        <f t="shared" si="24"/>
        <v>1E-3</v>
      </c>
      <c r="Y110" s="20">
        <f t="shared" si="6"/>
        <v>9.7100000000000009</v>
      </c>
      <c r="Z110" s="20">
        <f t="shared" si="25"/>
        <v>2.2000000000000002</v>
      </c>
      <c r="AA110" s="20">
        <f t="shared" si="14"/>
        <v>4.8400000000000007</v>
      </c>
      <c r="AB110" s="20">
        <f t="shared" si="15"/>
        <v>46.996400000000008</v>
      </c>
      <c r="AC110" s="20">
        <f t="shared" si="16"/>
        <v>3.8400000000000007</v>
      </c>
      <c r="AD110" s="20">
        <v>1</v>
      </c>
      <c r="AE110" s="20">
        <f t="shared" si="17"/>
        <v>2.1362000000000003E-2</v>
      </c>
      <c r="AF110" s="20" t="str">
        <f t="shared" si="18"/>
        <v>1+0.021362j</v>
      </c>
      <c r="AH110" s="20" t="str">
        <f t="shared" si="19"/>
        <v>3.84+0.08203008j</v>
      </c>
      <c r="AI110" s="20" t="str">
        <f t="shared" si="20"/>
        <v>50.8364+0.08203008j</v>
      </c>
      <c r="AK110" s="20" t="str">
        <f t="shared" si="21"/>
        <v>0.924461166293673-0.00149171899324034j</v>
      </c>
      <c r="AO110" s="20">
        <f t="shared" si="22"/>
        <v>0.92446236981859509</v>
      </c>
      <c r="AP110" s="20">
        <v>44</v>
      </c>
      <c r="AR110" s="20">
        <f>Compensation!$C$16</f>
        <v>1.1000000000000001</v>
      </c>
    </row>
    <row r="111" spans="1:44" s="20" customFormat="1" x14ac:dyDescent="0.15">
      <c r="A111" s="20">
        <f t="shared" si="0"/>
        <v>0.18</v>
      </c>
      <c r="B111" s="20">
        <f t="shared" si="1"/>
        <v>9.7100000000000009</v>
      </c>
      <c r="C111" s="20">
        <f t="shared" si="23"/>
        <v>2.25</v>
      </c>
      <c r="D111" s="20">
        <f t="shared" si="7"/>
        <v>5.0625</v>
      </c>
      <c r="E111" s="20">
        <f t="shared" si="8"/>
        <v>49.156875000000007</v>
      </c>
      <c r="F111" s="20">
        <f t="shared" si="9"/>
        <v>4.0625</v>
      </c>
      <c r="G111" s="20">
        <f>1</f>
        <v>1</v>
      </c>
      <c r="H111" s="20">
        <f t="shared" si="10"/>
        <v>3.9325500000000004</v>
      </c>
      <c r="I111" s="20" t="str">
        <f t="shared" si="11"/>
        <v>1+3.93255j</v>
      </c>
      <c r="K111" s="20" t="str">
        <f t="shared" si="12"/>
        <v>4.0625+15.975984375j</v>
      </c>
      <c r="M111" s="20" t="str">
        <f t="shared" si="26"/>
        <v>53.219375+15.975984375j</v>
      </c>
      <c r="O111" s="20" t="str">
        <f t="shared" si="27"/>
        <v>0.847309925981266-0.254354925029824j</v>
      </c>
      <c r="S111" s="20">
        <f t="shared" si="13"/>
        <v>0.88466408232351434</v>
      </c>
      <c r="U111" s="20">
        <f t="shared" si="4"/>
        <v>1.7671874999999999</v>
      </c>
      <c r="V111" s="20">
        <f t="shared" si="5"/>
        <v>1.0214285714285714</v>
      </c>
      <c r="X111" s="20">
        <f t="shared" si="24"/>
        <v>1E-3</v>
      </c>
      <c r="Y111" s="20">
        <f t="shared" si="6"/>
        <v>9.7100000000000009</v>
      </c>
      <c r="Z111" s="20">
        <f t="shared" si="25"/>
        <v>2.25</v>
      </c>
      <c r="AA111" s="20">
        <f t="shared" si="14"/>
        <v>5.0625</v>
      </c>
      <c r="AB111" s="20">
        <f t="shared" si="15"/>
        <v>49.156875000000007</v>
      </c>
      <c r="AC111" s="20">
        <f t="shared" si="16"/>
        <v>4.0625</v>
      </c>
      <c r="AD111" s="20">
        <v>1</v>
      </c>
      <c r="AE111" s="20">
        <f t="shared" si="17"/>
        <v>2.1847500000000006E-2</v>
      </c>
      <c r="AF111" s="20" t="str">
        <f t="shared" si="18"/>
        <v>1+0.0218475j</v>
      </c>
      <c r="AH111" s="20" t="str">
        <f t="shared" si="19"/>
        <v>4.0625+0.08875546875j</v>
      </c>
      <c r="AI111" s="20" t="str">
        <f t="shared" si="20"/>
        <v>53.219375+0.08875546875j</v>
      </c>
      <c r="AK111" s="20" t="str">
        <f t="shared" si="21"/>
        <v>0.923662449614654-0.00154041819698788j</v>
      </c>
      <c r="AO111" s="20">
        <f t="shared" si="22"/>
        <v>0.92366373411342995</v>
      </c>
      <c r="AP111" s="20">
        <v>45</v>
      </c>
      <c r="AR111" s="20">
        <f>Compensation!$C$16</f>
        <v>1.1000000000000001</v>
      </c>
    </row>
    <row r="112" spans="1:44" s="20" customFormat="1" x14ac:dyDescent="0.15">
      <c r="A112" s="20">
        <f t="shared" si="0"/>
        <v>0.18</v>
      </c>
      <c r="B112" s="20">
        <f t="shared" si="1"/>
        <v>9.7100000000000009</v>
      </c>
      <c r="C112" s="20">
        <f t="shared" si="23"/>
        <v>2.2999999999999998</v>
      </c>
      <c r="D112" s="20">
        <f t="shared" si="7"/>
        <v>5.2899999999999991</v>
      </c>
      <c r="E112" s="20">
        <f t="shared" si="8"/>
        <v>51.365899999999996</v>
      </c>
      <c r="F112" s="20">
        <f t="shared" si="9"/>
        <v>4.2899999999999991</v>
      </c>
      <c r="G112" s="20">
        <f>1</f>
        <v>1</v>
      </c>
      <c r="H112" s="20">
        <f t="shared" si="10"/>
        <v>4.0199400000000001</v>
      </c>
      <c r="I112" s="20" t="str">
        <f t="shared" si="11"/>
        <v>1+4.01994j</v>
      </c>
      <c r="K112" s="20" t="str">
        <f t="shared" si="12"/>
        <v>4.29+17.2455426j</v>
      </c>
      <c r="M112" s="20" t="str">
        <f t="shared" si="26"/>
        <v>55.6559+17.2455426j</v>
      </c>
      <c r="O112" s="20" t="str">
        <f t="shared" si="27"/>
        <v>0.842069380111869-0.260923700216416j</v>
      </c>
      <c r="S112" s="20">
        <f t="shared" si="13"/>
        <v>0.88156793173107972</v>
      </c>
      <c r="U112" s="20">
        <f t="shared" si="4"/>
        <v>1.7671874999999999</v>
      </c>
      <c r="V112" s="20">
        <f t="shared" si="5"/>
        <v>1.0214285714285714</v>
      </c>
      <c r="X112" s="20">
        <f t="shared" si="24"/>
        <v>1E-3</v>
      </c>
      <c r="Y112" s="20">
        <f t="shared" si="6"/>
        <v>9.7100000000000009</v>
      </c>
      <c r="Z112" s="20">
        <f t="shared" si="25"/>
        <v>2.2999999999999998</v>
      </c>
      <c r="AA112" s="20">
        <f t="shared" si="14"/>
        <v>5.2899999999999991</v>
      </c>
      <c r="AB112" s="20">
        <f t="shared" si="15"/>
        <v>51.365899999999996</v>
      </c>
      <c r="AC112" s="20">
        <f t="shared" si="16"/>
        <v>4.2899999999999991</v>
      </c>
      <c r="AD112" s="20">
        <v>1</v>
      </c>
      <c r="AE112" s="20">
        <f t="shared" si="17"/>
        <v>2.2333000000000002E-2</v>
      </c>
      <c r="AF112" s="20" t="str">
        <f t="shared" si="18"/>
        <v>1+0.022333j</v>
      </c>
      <c r="AH112" s="20" t="str">
        <f t="shared" si="19"/>
        <v>4.29+0.09580857j</v>
      </c>
      <c r="AI112" s="20" t="str">
        <f t="shared" si="20"/>
        <v>55.6559+0.09580857j</v>
      </c>
      <c r="AK112" s="20" t="str">
        <f t="shared" si="21"/>
        <v>0.922916488353222-0.00158874996143345j</v>
      </c>
      <c r="AO112" s="20">
        <f t="shared" si="22"/>
        <v>0.92291785582503649</v>
      </c>
      <c r="AP112" s="20">
        <v>46</v>
      </c>
      <c r="AR112" s="20">
        <f>Compensation!$C$16</f>
        <v>1.1000000000000001</v>
      </c>
    </row>
    <row r="113" spans="1:44" s="20" customFormat="1" x14ac:dyDescent="0.15">
      <c r="A113" s="20">
        <f t="shared" si="0"/>
        <v>0.18</v>
      </c>
      <c r="B113" s="20">
        <f t="shared" si="1"/>
        <v>9.7100000000000009</v>
      </c>
      <c r="C113" s="20">
        <f t="shared" si="23"/>
        <v>2.3499999999999996</v>
      </c>
      <c r="D113" s="20">
        <f t="shared" si="7"/>
        <v>5.5224999999999982</v>
      </c>
      <c r="E113" s="20">
        <f t="shared" si="8"/>
        <v>53.623474999999985</v>
      </c>
      <c r="F113" s="20">
        <f t="shared" si="9"/>
        <v>4.5224999999999982</v>
      </c>
      <c r="G113" s="20">
        <f>1</f>
        <v>1</v>
      </c>
      <c r="H113" s="20">
        <f t="shared" si="10"/>
        <v>4.1073300000000001</v>
      </c>
      <c r="I113" s="20" t="str">
        <f t="shared" si="11"/>
        <v>1+4.10733j</v>
      </c>
      <c r="K113" s="20" t="str">
        <f t="shared" si="12"/>
        <v>4.5225+18.575399925j</v>
      </c>
      <c r="M113" s="20" t="str">
        <f t="shared" si="26"/>
        <v>58.145975+18.575399925j</v>
      </c>
      <c r="O113" s="20" t="str">
        <f t="shared" si="27"/>
        <v>0.83681946535541-0.267331594904057j</v>
      </c>
      <c r="S113" s="20">
        <f t="shared" si="13"/>
        <v>0.87848335171001457</v>
      </c>
      <c r="U113" s="20">
        <f t="shared" si="4"/>
        <v>1.7671874999999999</v>
      </c>
      <c r="V113" s="20">
        <f t="shared" si="5"/>
        <v>1.0214285714285714</v>
      </c>
      <c r="X113" s="20">
        <f t="shared" si="24"/>
        <v>1E-3</v>
      </c>
      <c r="Y113" s="20">
        <f t="shared" si="6"/>
        <v>9.7100000000000009</v>
      </c>
      <c r="Z113" s="20">
        <f t="shared" si="25"/>
        <v>2.3499999999999996</v>
      </c>
      <c r="AA113" s="20">
        <f t="shared" si="14"/>
        <v>5.5224999999999982</v>
      </c>
      <c r="AB113" s="20">
        <f t="shared" si="15"/>
        <v>53.623474999999985</v>
      </c>
      <c r="AC113" s="20">
        <f t="shared" si="16"/>
        <v>4.5224999999999982</v>
      </c>
      <c r="AD113" s="20">
        <v>1</v>
      </c>
      <c r="AE113" s="20">
        <f t="shared" si="17"/>
        <v>2.2818500000000002E-2</v>
      </c>
      <c r="AF113" s="20" t="str">
        <f t="shared" si="18"/>
        <v>1+0.0228185j</v>
      </c>
      <c r="AH113" s="20" t="str">
        <f t="shared" si="19"/>
        <v>4.5225+0.10319666625j</v>
      </c>
      <c r="AI113" s="20" t="str">
        <f t="shared" si="20"/>
        <v>58.145975+0.10319666625j</v>
      </c>
      <c r="AK113" s="20" t="str">
        <f t="shared" si="21"/>
        <v>0.922218710646674-0.00163674091787282j</v>
      </c>
      <c r="AO113" s="20">
        <f t="shared" si="22"/>
        <v>0.92222016307801813</v>
      </c>
      <c r="AP113" s="20">
        <v>47</v>
      </c>
      <c r="AR113" s="20">
        <f>Compensation!$C$16</f>
        <v>1.1000000000000001</v>
      </c>
    </row>
    <row r="114" spans="1:44" s="20" customFormat="1" x14ac:dyDescent="0.15">
      <c r="A114" s="20">
        <f t="shared" si="0"/>
        <v>0.18</v>
      </c>
      <c r="B114" s="20">
        <f t="shared" si="1"/>
        <v>9.7100000000000009</v>
      </c>
      <c r="C114" s="20">
        <f t="shared" si="23"/>
        <v>2.3999999999999995</v>
      </c>
      <c r="D114" s="20">
        <f t="shared" si="7"/>
        <v>5.7599999999999971</v>
      </c>
      <c r="E114" s="20">
        <f t="shared" si="8"/>
        <v>55.929599999999979</v>
      </c>
      <c r="F114" s="20">
        <f t="shared" si="9"/>
        <v>4.7599999999999971</v>
      </c>
      <c r="G114" s="20">
        <f>1</f>
        <v>1</v>
      </c>
      <c r="H114" s="20">
        <f t="shared" si="10"/>
        <v>4.1947199999999993</v>
      </c>
      <c r="I114" s="20" t="str">
        <f t="shared" si="11"/>
        <v>1+4.19472j</v>
      </c>
      <c r="K114" s="20" t="str">
        <f t="shared" si="12"/>
        <v>4.76+19.9668672j</v>
      </c>
      <c r="M114" s="20" t="str">
        <f t="shared" si="26"/>
        <v>60.6896+19.9668672j</v>
      </c>
      <c r="O114" s="20" t="str">
        <f t="shared" si="27"/>
        <v>0.831559391408133-0.27358288631263j</v>
      </c>
      <c r="S114" s="20">
        <f t="shared" si="13"/>
        <v>0.8754076862366551</v>
      </c>
      <c r="U114" s="20">
        <f t="shared" si="4"/>
        <v>1.7671874999999999</v>
      </c>
      <c r="V114" s="20">
        <f t="shared" si="5"/>
        <v>1.0214285714285714</v>
      </c>
      <c r="X114" s="20">
        <f t="shared" si="24"/>
        <v>1E-3</v>
      </c>
      <c r="Y114" s="20">
        <f t="shared" si="6"/>
        <v>9.7100000000000009</v>
      </c>
      <c r="Z114" s="20">
        <f t="shared" si="25"/>
        <v>2.3999999999999995</v>
      </c>
      <c r="AA114" s="20">
        <f t="shared" si="14"/>
        <v>5.7599999999999971</v>
      </c>
      <c r="AB114" s="20">
        <f t="shared" si="15"/>
        <v>55.929599999999979</v>
      </c>
      <c r="AC114" s="20">
        <f t="shared" si="16"/>
        <v>4.7599999999999971</v>
      </c>
      <c r="AD114" s="20">
        <v>1</v>
      </c>
      <c r="AE114" s="20">
        <f t="shared" si="17"/>
        <v>2.3303999999999998E-2</v>
      </c>
      <c r="AF114" s="20" t="str">
        <f t="shared" si="18"/>
        <v>1+0.023304j</v>
      </c>
      <c r="AH114" s="20" t="str">
        <f t="shared" si="19"/>
        <v>4.76+0.11092704j</v>
      </c>
      <c r="AI114" s="20" t="str">
        <f t="shared" si="20"/>
        <v>60.6896+0.11092704j</v>
      </c>
      <c r="AK114" s="20" t="str">
        <f t="shared" si="21"/>
        <v>0.921565031781627-0.0016844151410298j</v>
      </c>
      <c r="AO114" s="20">
        <f t="shared" si="22"/>
        <v>0.92156657114775942</v>
      </c>
      <c r="AP114" s="20">
        <v>48</v>
      </c>
      <c r="AR114" s="20">
        <f>Compensation!$C$16</f>
        <v>1.1000000000000001</v>
      </c>
    </row>
    <row r="115" spans="1:44" s="20" customFormat="1" x14ac:dyDescent="0.15">
      <c r="A115" s="20">
        <f t="shared" si="0"/>
        <v>0.18</v>
      </c>
      <c r="B115" s="20">
        <f t="shared" si="1"/>
        <v>9.7100000000000009</v>
      </c>
      <c r="C115" s="20">
        <f t="shared" si="23"/>
        <v>2.4499999999999993</v>
      </c>
      <c r="D115" s="20">
        <f t="shared" si="7"/>
        <v>6.0024999999999968</v>
      </c>
      <c r="E115" s="20">
        <f t="shared" si="8"/>
        <v>58.284274999999973</v>
      </c>
      <c r="F115" s="20">
        <f t="shared" si="9"/>
        <v>5.0024999999999968</v>
      </c>
      <c r="G115" s="20">
        <f>1</f>
        <v>1</v>
      </c>
      <c r="H115" s="20">
        <f t="shared" si="10"/>
        <v>4.2821099999999994</v>
      </c>
      <c r="I115" s="20" t="str">
        <f t="shared" si="11"/>
        <v>1+4.28211j</v>
      </c>
      <c r="K115" s="20" t="str">
        <f t="shared" si="12"/>
        <v>5.0025+21.421255275j</v>
      </c>
      <c r="M115" s="20" t="str">
        <f t="shared" si="26"/>
        <v>63.286775+21.421255275j</v>
      </c>
      <c r="O115" s="20" t="str">
        <f t="shared" si="27"/>
        <v>0.826288683108678-0.27968151026363j</v>
      </c>
      <c r="S115" s="20">
        <f t="shared" si="13"/>
        <v>0.87233865844453917</v>
      </c>
      <c r="U115" s="20">
        <f t="shared" si="4"/>
        <v>1.7671874999999999</v>
      </c>
      <c r="V115" s="20">
        <f t="shared" si="5"/>
        <v>1.0214285714285714</v>
      </c>
      <c r="X115" s="20">
        <f t="shared" si="24"/>
        <v>1E-3</v>
      </c>
      <c r="Y115" s="20">
        <f t="shared" si="6"/>
        <v>9.7100000000000009</v>
      </c>
      <c r="Z115" s="20">
        <f t="shared" si="25"/>
        <v>2.4499999999999993</v>
      </c>
      <c r="AA115" s="20">
        <f t="shared" si="14"/>
        <v>6.0024999999999968</v>
      </c>
      <c r="AB115" s="20">
        <f t="shared" si="15"/>
        <v>58.284274999999973</v>
      </c>
      <c r="AC115" s="20">
        <f t="shared" si="16"/>
        <v>5.0024999999999968</v>
      </c>
      <c r="AD115" s="20">
        <v>1</v>
      </c>
      <c r="AE115" s="20">
        <f t="shared" si="17"/>
        <v>2.3789499999999998E-2</v>
      </c>
      <c r="AF115" s="20" t="str">
        <f t="shared" si="18"/>
        <v>1+0.0237895j</v>
      </c>
      <c r="AH115" s="20" t="str">
        <f t="shared" si="19"/>
        <v>5.0025+0.11900697375j</v>
      </c>
      <c r="AI115" s="20" t="str">
        <f t="shared" si="20"/>
        <v>63.286775+0.11900697375j</v>
      </c>
      <c r="AK115" s="20" t="str">
        <f t="shared" si="21"/>
        <v>0.920951792920133-0.00173179445223843j</v>
      </c>
      <c r="AO115" s="20">
        <f t="shared" si="22"/>
        <v>0.92095342118634438</v>
      </c>
      <c r="AP115" s="20">
        <v>49</v>
      </c>
      <c r="AR115" s="20">
        <f>Compensation!$C$16</f>
        <v>1.1000000000000001</v>
      </c>
    </row>
    <row r="116" spans="1:44" s="20" customFormat="1" x14ac:dyDescent="0.15">
      <c r="A116" s="20">
        <f t="shared" si="0"/>
        <v>0.18</v>
      </c>
      <c r="B116" s="20">
        <f t="shared" si="1"/>
        <v>9.7100000000000009</v>
      </c>
      <c r="C116" s="20">
        <f t="shared" si="23"/>
        <v>2.4999999999999991</v>
      </c>
      <c r="D116" s="20">
        <f t="shared" si="7"/>
        <v>6.2499999999999956</v>
      </c>
      <c r="E116" s="20">
        <f t="shared" si="8"/>
        <v>60.687499999999964</v>
      </c>
      <c r="F116" s="20">
        <f t="shared" si="9"/>
        <v>5.2499999999999956</v>
      </c>
      <c r="G116" s="20">
        <f>1</f>
        <v>1</v>
      </c>
      <c r="H116" s="20">
        <f t="shared" si="10"/>
        <v>4.3694999999999986</v>
      </c>
      <c r="I116" s="20" t="str">
        <f t="shared" si="11"/>
        <v>1+4.3695j</v>
      </c>
      <c r="K116" s="20" t="str">
        <f t="shared" si="12"/>
        <v>5.25+22.939875j</v>
      </c>
      <c r="M116" s="20" t="str">
        <f t="shared" si="26"/>
        <v>65.9375+22.939875j</v>
      </c>
      <c r="O116" s="20" t="str">
        <f t="shared" si="27"/>
        <v>0.82100713727937-0.285631106779854j</v>
      </c>
      <c r="S116" s="20">
        <f t="shared" si="13"/>
        <v>0.86927432299818386</v>
      </c>
      <c r="U116" s="20">
        <f t="shared" si="4"/>
        <v>1.7671874999999999</v>
      </c>
      <c r="V116" s="20">
        <f t="shared" si="5"/>
        <v>1.0214285714285714</v>
      </c>
      <c r="X116" s="20">
        <f t="shared" si="24"/>
        <v>1E-3</v>
      </c>
      <c r="Y116" s="20">
        <f t="shared" si="6"/>
        <v>9.7100000000000009</v>
      </c>
      <c r="Z116" s="20">
        <f t="shared" si="25"/>
        <v>2.4999999999999991</v>
      </c>
      <c r="AA116" s="20">
        <f t="shared" si="14"/>
        <v>6.2499999999999956</v>
      </c>
      <c r="AB116" s="20">
        <f t="shared" si="15"/>
        <v>60.687499999999964</v>
      </c>
      <c r="AC116" s="20">
        <f t="shared" si="16"/>
        <v>5.2499999999999956</v>
      </c>
      <c r="AD116" s="20">
        <v>1</v>
      </c>
      <c r="AE116" s="20">
        <f t="shared" si="17"/>
        <v>2.4274999999999994E-2</v>
      </c>
      <c r="AF116" s="20" t="str">
        <f t="shared" si="18"/>
        <v>1+0.024275j</v>
      </c>
      <c r="AH116" s="20" t="str">
        <f t="shared" si="19"/>
        <v>5.25+0.12744375j</v>
      </c>
      <c r="AI116" s="20" t="str">
        <f t="shared" si="20"/>
        <v>65.9375+0.12744375j</v>
      </c>
      <c r="AK116" s="20" t="str">
        <f t="shared" si="21"/>
        <v>0.920375708670806-0.00177889868014279j</v>
      </c>
      <c r="AO116" s="20">
        <f t="shared" si="22"/>
        <v>0.92037742779351261</v>
      </c>
      <c r="AP116" s="20">
        <v>50</v>
      </c>
      <c r="AR116" s="20">
        <f>Compensation!$C$16</f>
        <v>1.1000000000000001</v>
      </c>
    </row>
    <row r="117" spans="1:44" s="20" customFormat="1" x14ac:dyDescent="0.15">
      <c r="A117" s="20">
        <f t="shared" si="0"/>
        <v>0.18</v>
      </c>
      <c r="B117" s="20">
        <f t="shared" si="1"/>
        <v>9.7100000000000009</v>
      </c>
      <c r="C117" s="20">
        <f t="shared" si="23"/>
        <v>2.5499999999999989</v>
      </c>
      <c r="D117" s="20">
        <f t="shared" si="7"/>
        <v>6.5024999999999942</v>
      </c>
      <c r="E117" s="20">
        <f t="shared" si="8"/>
        <v>63.139274999999948</v>
      </c>
      <c r="F117" s="20">
        <f t="shared" si="9"/>
        <v>5.5024999999999942</v>
      </c>
      <c r="G117" s="20">
        <f>1</f>
        <v>1</v>
      </c>
      <c r="H117" s="20">
        <f t="shared" si="10"/>
        <v>4.4568899999999987</v>
      </c>
      <c r="I117" s="20" t="str">
        <f t="shared" si="11"/>
        <v>1+4.45689j</v>
      </c>
      <c r="K117" s="20" t="str">
        <f t="shared" si="12"/>
        <v>5.50249999999999+24.524037225j</v>
      </c>
      <c r="M117" s="20" t="str">
        <f t="shared" si="26"/>
        <v>68.6417749999999+24.524037225j</v>
      </c>
      <c r="O117" s="20" t="str">
        <f t="shared" si="27"/>
        <v>0.815714785340619-0.291435059199391j</v>
      </c>
      <c r="S117" s="20">
        <f t="shared" si="13"/>
        <v>0.8662130250428266</v>
      </c>
      <c r="U117" s="20">
        <f t="shared" si="4"/>
        <v>1.7671874999999999</v>
      </c>
      <c r="V117" s="20">
        <f t="shared" si="5"/>
        <v>1.0214285714285714</v>
      </c>
      <c r="X117" s="20">
        <f t="shared" si="24"/>
        <v>1E-3</v>
      </c>
      <c r="Y117" s="20">
        <f t="shared" si="6"/>
        <v>9.7100000000000009</v>
      </c>
      <c r="Z117" s="20">
        <f t="shared" si="25"/>
        <v>2.5499999999999989</v>
      </c>
      <c r="AA117" s="20">
        <f t="shared" si="14"/>
        <v>6.5024999999999942</v>
      </c>
      <c r="AB117" s="20">
        <f t="shared" si="15"/>
        <v>63.139274999999948</v>
      </c>
      <c r="AC117" s="20">
        <f t="shared" si="16"/>
        <v>5.5024999999999942</v>
      </c>
      <c r="AD117" s="20">
        <v>1</v>
      </c>
      <c r="AE117" s="20">
        <f t="shared" si="17"/>
        <v>2.4760499999999994E-2</v>
      </c>
      <c r="AF117" s="20" t="str">
        <f t="shared" si="18"/>
        <v>1+0.0247605j</v>
      </c>
      <c r="AH117" s="20" t="str">
        <f t="shared" si="19"/>
        <v>5.50249999999999+0.13624465125j</v>
      </c>
      <c r="AI117" s="20" t="str">
        <f t="shared" si="20"/>
        <v>68.6417749999999+0.13624465125j</v>
      </c>
      <c r="AK117" s="20" t="str">
        <f t="shared" si="21"/>
        <v>0.919833822069557-0.00182574588573535j</v>
      </c>
      <c r="AO117" s="20">
        <f t="shared" si="22"/>
        <v>0.91983563399725321</v>
      </c>
      <c r="AP117" s="20">
        <v>51</v>
      </c>
      <c r="AR117" s="20">
        <f>Compensation!$C$16</f>
        <v>1.1000000000000001</v>
      </c>
    </row>
    <row r="118" spans="1:44" s="20" customFormat="1" x14ac:dyDescent="0.15">
      <c r="A118" s="20">
        <f t="shared" si="0"/>
        <v>0.18</v>
      </c>
      <c r="B118" s="20">
        <f t="shared" si="1"/>
        <v>9.7100000000000009</v>
      </c>
      <c r="C118" s="20">
        <f t="shared" si="23"/>
        <v>2.5999999999999988</v>
      </c>
      <c r="D118" s="20">
        <f t="shared" si="7"/>
        <v>6.7599999999999936</v>
      </c>
      <c r="E118" s="20">
        <f t="shared" si="8"/>
        <v>65.639599999999945</v>
      </c>
      <c r="F118" s="20">
        <f t="shared" si="9"/>
        <v>5.7599999999999936</v>
      </c>
      <c r="G118" s="20">
        <f>1</f>
        <v>1</v>
      </c>
      <c r="H118" s="20">
        <f t="shared" si="10"/>
        <v>4.5442799999999979</v>
      </c>
      <c r="I118" s="20" t="str">
        <f t="shared" si="11"/>
        <v>1+4.54428j</v>
      </c>
      <c r="K118" s="20" t="str">
        <f t="shared" si="12"/>
        <v>5.75999999999999+26.1750528j</v>
      </c>
      <c r="M118" s="20" t="str">
        <f t="shared" si="26"/>
        <v>71.3995999999999+26.1750528j</v>
      </c>
      <c r="O118" s="20" t="str">
        <f t="shared" si="27"/>
        <v>0.810411860822318-0.297096527806465j</v>
      </c>
      <c r="S118" s="20">
        <f t="shared" si="13"/>
        <v>0.86315336470186443</v>
      </c>
      <c r="U118" s="20">
        <f t="shared" si="4"/>
        <v>1.7671874999999999</v>
      </c>
      <c r="V118" s="20">
        <f t="shared" si="5"/>
        <v>1.0214285714285714</v>
      </c>
      <c r="X118" s="20">
        <f t="shared" si="24"/>
        <v>1E-3</v>
      </c>
      <c r="Y118" s="20">
        <f t="shared" si="6"/>
        <v>9.7100000000000009</v>
      </c>
      <c r="Z118" s="20">
        <f t="shared" si="25"/>
        <v>2.5999999999999988</v>
      </c>
      <c r="AA118" s="20">
        <f t="shared" si="14"/>
        <v>6.7599999999999936</v>
      </c>
      <c r="AB118" s="20">
        <f t="shared" si="15"/>
        <v>65.639599999999945</v>
      </c>
      <c r="AC118" s="20">
        <f t="shared" si="16"/>
        <v>5.7599999999999936</v>
      </c>
      <c r="AD118" s="20">
        <v>1</v>
      </c>
      <c r="AE118" s="20">
        <f t="shared" si="17"/>
        <v>2.5245999999999991E-2</v>
      </c>
      <c r="AF118" s="20" t="str">
        <f t="shared" si="18"/>
        <v>1+0.025246j</v>
      </c>
      <c r="AH118" s="20" t="str">
        <f t="shared" si="19"/>
        <v>5.75999999999999+0.14541696j</v>
      </c>
      <c r="AI118" s="20" t="str">
        <f t="shared" si="20"/>
        <v>71.3995999999999+0.14541696j</v>
      </c>
      <c r="AK118" s="20" t="str">
        <f t="shared" si="21"/>
        <v>0.919323465792289-0.00187235255732776j</v>
      </c>
      <c r="AO118" s="20">
        <f t="shared" si="22"/>
        <v>0.91932537246637813</v>
      </c>
      <c r="AP118" s="20">
        <v>52</v>
      </c>
      <c r="AR118" s="20">
        <f>Compensation!$C$16</f>
        <v>1.1000000000000001</v>
      </c>
    </row>
    <row r="119" spans="1:44" s="20" customFormat="1" x14ac:dyDescent="0.15">
      <c r="A119" s="20">
        <f t="shared" si="0"/>
        <v>0.18</v>
      </c>
      <c r="B119" s="20">
        <f t="shared" si="1"/>
        <v>9.7100000000000009</v>
      </c>
      <c r="C119" s="20">
        <f t="shared" si="23"/>
        <v>2.6499999999999986</v>
      </c>
      <c r="D119" s="20">
        <f t="shared" si="7"/>
        <v>7.0224999999999929</v>
      </c>
      <c r="E119" s="20">
        <f t="shared" si="8"/>
        <v>68.18847499999994</v>
      </c>
      <c r="F119" s="20">
        <f t="shared" si="9"/>
        <v>6.0224999999999929</v>
      </c>
      <c r="G119" s="20">
        <f>1</f>
        <v>1</v>
      </c>
      <c r="H119" s="20">
        <f t="shared" si="10"/>
        <v>4.631669999999998</v>
      </c>
      <c r="I119" s="20" t="str">
        <f t="shared" si="11"/>
        <v>1+4.63167j</v>
      </c>
      <c r="K119" s="20" t="str">
        <f t="shared" si="12"/>
        <v>6.02249999999999+27.894232575j</v>
      </c>
      <c r="M119" s="20" t="str">
        <f t="shared" si="26"/>
        <v>74.2109749999999+27.894232575j</v>
      </c>
      <c r="O119" s="20" t="str">
        <f t="shared" si="27"/>
        <v>0.805098771045935-0.302618478808586j</v>
      </c>
      <c r="S119" s="20">
        <f t="shared" si="13"/>
        <v>0.8600941662725643</v>
      </c>
      <c r="U119" s="20">
        <f t="shared" si="4"/>
        <v>1.7671874999999999</v>
      </c>
      <c r="V119" s="20">
        <f t="shared" si="5"/>
        <v>1.0214285714285714</v>
      </c>
      <c r="X119" s="20">
        <f t="shared" si="24"/>
        <v>1E-3</v>
      </c>
      <c r="Y119" s="20">
        <f t="shared" si="6"/>
        <v>9.7100000000000009</v>
      </c>
      <c r="Z119" s="20">
        <f t="shared" si="25"/>
        <v>2.6499999999999986</v>
      </c>
      <c r="AA119" s="20">
        <f t="shared" si="14"/>
        <v>7.0224999999999929</v>
      </c>
      <c r="AB119" s="20">
        <f t="shared" si="15"/>
        <v>68.18847499999994</v>
      </c>
      <c r="AC119" s="20">
        <f t="shared" si="16"/>
        <v>6.0224999999999929</v>
      </c>
      <c r="AD119" s="20">
        <v>1</v>
      </c>
      <c r="AE119" s="20">
        <f t="shared" si="17"/>
        <v>2.573149999999999E-2</v>
      </c>
      <c r="AF119" s="20" t="str">
        <f t="shared" si="18"/>
        <v>1+0.0257315j</v>
      </c>
      <c r="AH119" s="20" t="str">
        <f t="shared" si="19"/>
        <v>6.02249999999999+0.15496795875j</v>
      </c>
      <c r="AI119" s="20" t="str">
        <f t="shared" si="20"/>
        <v>74.2109749999999+0.15496795875j</v>
      </c>
      <c r="AK119" s="20" t="str">
        <f t="shared" si="21"/>
        <v>0.918842228629158-0.00191873378006369j</v>
      </c>
      <c r="AO119" s="20">
        <f t="shared" si="22"/>
        <v>0.91884423198468013</v>
      </c>
      <c r="AP119" s="20">
        <v>53</v>
      </c>
      <c r="AR119" s="20">
        <f>Compensation!$C$16</f>
        <v>1.1000000000000001</v>
      </c>
    </row>
    <row r="120" spans="1:44" s="20" customFormat="1" x14ac:dyDescent="0.15">
      <c r="A120" s="20">
        <f t="shared" si="0"/>
        <v>0.18</v>
      </c>
      <c r="B120" s="20">
        <f t="shared" si="1"/>
        <v>9.7100000000000009</v>
      </c>
      <c r="C120" s="20">
        <f t="shared" si="23"/>
        <v>2.6999999999999984</v>
      </c>
      <c r="D120" s="20">
        <f t="shared" si="7"/>
        <v>7.2899999999999912</v>
      </c>
      <c r="E120" s="20">
        <f t="shared" si="8"/>
        <v>70.785899999999927</v>
      </c>
      <c r="F120" s="20">
        <f t="shared" si="9"/>
        <v>6.2899999999999912</v>
      </c>
      <c r="G120" s="20">
        <f>1</f>
        <v>1</v>
      </c>
      <c r="H120" s="20">
        <f t="shared" si="10"/>
        <v>4.719059999999998</v>
      </c>
      <c r="I120" s="20" t="str">
        <f t="shared" si="11"/>
        <v>1+4.71906j</v>
      </c>
      <c r="K120" s="20" t="str">
        <f t="shared" si="12"/>
        <v>6.28999999999999+29.6828874j</v>
      </c>
      <c r="M120" s="20" t="str">
        <f t="shared" si="26"/>
        <v>77.0758999999999+29.6828874j</v>
      </c>
      <c r="O120" s="20" t="str">
        <f t="shared" si="27"/>
        <v>0.799776072372753-0.308003709349547j</v>
      </c>
      <c r="S120" s="20">
        <f t="shared" si="13"/>
        <v>0.85703445141550016</v>
      </c>
      <c r="U120" s="20">
        <f t="shared" si="4"/>
        <v>1.7671874999999999</v>
      </c>
      <c r="V120" s="20">
        <f t="shared" si="5"/>
        <v>1.0214285714285714</v>
      </c>
      <c r="X120" s="20">
        <f t="shared" si="24"/>
        <v>1E-3</v>
      </c>
      <c r="Y120" s="20">
        <f t="shared" si="6"/>
        <v>9.7100000000000009</v>
      </c>
      <c r="Z120" s="20">
        <f t="shared" si="25"/>
        <v>2.6999999999999984</v>
      </c>
      <c r="AA120" s="20">
        <f t="shared" si="14"/>
        <v>7.2899999999999912</v>
      </c>
      <c r="AB120" s="20">
        <f t="shared" si="15"/>
        <v>70.785899999999927</v>
      </c>
      <c r="AC120" s="20">
        <f t="shared" si="16"/>
        <v>6.2899999999999912</v>
      </c>
      <c r="AD120" s="20">
        <v>1</v>
      </c>
      <c r="AE120" s="20">
        <f t="shared" si="17"/>
        <v>2.621699999999999E-2</v>
      </c>
      <c r="AF120" s="20" t="str">
        <f t="shared" si="18"/>
        <v>1+0.026217j</v>
      </c>
      <c r="AH120" s="20" t="str">
        <f t="shared" si="19"/>
        <v>6.28999999999999+0.16490493j</v>
      </c>
      <c r="AI120" s="20" t="str">
        <f t="shared" si="20"/>
        <v>77.0758999999999+0.16490493j</v>
      </c>
      <c r="AK120" s="20" t="str">
        <f t="shared" si="21"/>
        <v>0.918387926417273-0.00196490338379034j</v>
      </c>
      <c r="AO120" s="20">
        <f t="shared" si="22"/>
        <v>0.91839002838354367</v>
      </c>
      <c r="AP120" s="20">
        <v>54</v>
      </c>
      <c r="AR120" s="20">
        <f>Compensation!$C$16</f>
        <v>1.1000000000000001</v>
      </c>
    </row>
    <row r="121" spans="1:44" s="20" customFormat="1" x14ac:dyDescent="0.15">
      <c r="A121" s="20">
        <f t="shared" si="0"/>
        <v>0.18</v>
      </c>
      <c r="B121" s="20">
        <f t="shared" si="1"/>
        <v>9.7100000000000009</v>
      </c>
      <c r="C121" s="20">
        <f t="shared" si="23"/>
        <v>2.7499999999999982</v>
      </c>
      <c r="D121" s="20">
        <f t="shared" si="7"/>
        <v>7.5624999999999902</v>
      </c>
      <c r="E121" s="20">
        <f t="shared" si="8"/>
        <v>73.431874999999906</v>
      </c>
      <c r="F121" s="20">
        <f t="shared" si="9"/>
        <v>6.5624999999999902</v>
      </c>
      <c r="G121" s="20">
        <f>1</f>
        <v>1</v>
      </c>
      <c r="H121" s="20">
        <f t="shared" si="10"/>
        <v>4.8064499999999972</v>
      </c>
      <c r="I121" s="20" t="str">
        <f t="shared" si="11"/>
        <v>1+4.80645j</v>
      </c>
      <c r="K121" s="20" t="str">
        <f t="shared" si="12"/>
        <v>6.56249999999999+31.542328125j</v>
      </c>
      <c r="M121" s="20" t="str">
        <f t="shared" si="26"/>
        <v>79.9943749999999+31.542328125j</v>
      </c>
      <c r="O121" s="20" t="str">
        <f t="shared" si="27"/>
        <v>0.794444448513044-0.313254869134025j</v>
      </c>
      <c r="S121" s="20">
        <f t="shared" si="13"/>
        <v>0.85397341575096453</v>
      </c>
      <c r="U121" s="20">
        <f t="shared" si="4"/>
        <v>1.7671874999999999</v>
      </c>
      <c r="V121" s="20">
        <f t="shared" si="5"/>
        <v>1.0214285714285714</v>
      </c>
      <c r="X121" s="20">
        <f t="shared" si="24"/>
        <v>1E-3</v>
      </c>
      <c r="Y121" s="20">
        <f t="shared" si="6"/>
        <v>9.7100000000000009</v>
      </c>
      <c r="Z121" s="20">
        <f t="shared" si="25"/>
        <v>2.7499999999999982</v>
      </c>
      <c r="AA121" s="20">
        <f t="shared" si="14"/>
        <v>7.5624999999999902</v>
      </c>
      <c r="AB121" s="20">
        <f t="shared" si="15"/>
        <v>73.431874999999906</v>
      </c>
      <c r="AC121" s="20">
        <f t="shared" si="16"/>
        <v>6.5624999999999902</v>
      </c>
      <c r="AD121" s="20">
        <v>1</v>
      </c>
      <c r="AE121" s="20">
        <f t="shared" si="17"/>
        <v>2.6702499999999987E-2</v>
      </c>
      <c r="AF121" s="20" t="str">
        <f t="shared" si="18"/>
        <v>1+0.0267025j</v>
      </c>
      <c r="AH121" s="20" t="str">
        <f t="shared" si="19"/>
        <v>6.56249999999999+0.17523515625j</v>
      </c>
      <c r="AI121" s="20" t="str">
        <f t="shared" si="20"/>
        <v>79.9943749999999+0.17523515625j</v>
      </c>
      <c r="AK121" s="20" t="str">
        <f t="shared" si="21"/>
        <v>0.917958576764525-0.00201087407246271j</v>
      </c>
      <c r="AO121" s="20">
        <f t="shared" si="22"/>
        <v>0.91796077926569808</v>
      </c>
      <c r="AP121" s="20">
        <v>55</v>
      </c>
      <c r="AR121" s="20">
        <f>Compensation!$C$16</f>
        <v>1.1000000000000001</v>
      </c>
    </row>
    <row r="122" spans="1:44" s="20" customFormat="1" x14ac:dyDescent="0.15">
      <c r="A122" s="20">
        <f t="shared" si="0"/>
        <v>0.18</v>
      </c>
      <c r="B122" s="20">
        <f t="shared" si="1"/>
        <v>9.7100000000000009</v>
      </c>
      <c r="C122" s="20">
        <f t="shared" si="23"/>
        <v>2.799999999999998</v>
      </c>
      <c r="D122" s="20">
        <f t="shared" si="7"/>
        <v>7.8399999999999892</v>
      </c>
      <c r="E122" s="20">
        <f t="shared" si="8"/>
        <v>76.126399999999904</v>
      </c>
      <c r="F122" s="20">
        <f t="shared" si="9"/>
        <v>6.8399999999999892</v>
      </c>
      <c r="G122" s="20">
        <f>1</f>
        <v>1</v>
      </c>
      <c r="H122" s="20">
        <f t="shared" si="10"/>
        <v>4.8938399999999973</v>
      </c>
      <c r="I122" s="20" t="str">
        <f t="shared" si="11"/>
        <v>1+4.89384j</v>
      </c>
      <c r="K122" s="20" t="str">
        <f t="shared" si="12"/>
        <v>6.83999999999999+33.4738655999999j</v>
      </c>
      <c r="M122" s="20" t="str">
        <f t="shared" si="26"/>
        <v>82.9663999999999+33.4738655999999j</v>
      </c>
      <c r="O122" s="20" t="str">
        <f t="shared" si="27"/>
        <v>0.789104691472377-0.318374479146688j</v>
      </c>
      <c r="S122" s="20">
        <f t="shared" si="13"/>
        <v>0.85091040837190379</v>
      </c>
      <c r="U122" s="20">
        <f t="shared" si="4"/>
        <v>1.7671874999999999</v>
      </c>
      <c r="V122" s="20">
        <f t="shared" si="5"/>
        <v>1.0214285714285714</v>
      </c>
      <c r="X122" s="20">
        <f t="shared" si="24"/>
        <v>1E-3</v>
      </c>
      <c r="Y122" s="20">
        <f t="shared" si="6"/>
        <v>9.7100000000000009</v>
      </c>
      <c r="Z122" s="20">
        <f t="shared" si="25"/>
        <v>2.799999999999998</v>
      </c>
      <c r="AA122" s="20">
        <f t="shared" si="14"/>
        <v>7.8399999999999892</v>
      </c>
      <c r="AB122" s="20">
        <f t="shared" si="15"/>
        <v>76.126399999999904</v>
      </c>
      <c r="AC122" s="20">
        <f t="shared" si="16"/>
        <v>6.8399999999999892</v>
      </c>
      <c r="AD122" s="20">
        <v>1</v>
      </c>
      <c r="AE122" s="20">
        <f t="shared" si="17"/>
        <v>2.7187999999999986E-2</v>
      </c>
      <c r="AF122" s="20" t="str">
        <f t="shared" si="18"/>
        <v>1+0.027188j</v>
      </c>
      <c r="AH122" s="20" t="str">
        <f t="shared" si="19"/>
        <v>6.83999999999999+0.18596592j</v>
      </c>
      <c r="AI122" s="20" t="str">
        <f t="shared" si="20"/>
        <v>82.9663999999999+0.18596592j</v>
      </c>
      <c r="AK122" s="20" t="str">
        <f t="shared" si="21"/>
        <v>0.917552377007908-0.00205665753773169j</v>
      </c>
      <c r="AO122" s="20">
        <f t="shared" si="22"/>
        <v>0.9175546819634729</v>
      </c>
      <c r="AP122" s="20">
        <v>56</v>
      </c>
      <c r="AR122" s="20">
        <f>Compensation!$C$16</f>
        <v>1.1000000000000001</v>
      </c>
    </row>
    <row r="123" spans="1:44" s="20" customFormat="1" x14ac:dyDescent="0.15">
      <c r="A123" s="20">
        <f t="shared" si="0"/>
        <v>0.18</v>
      </c>
      <c r="B123" s="20">
        <f t="shared" si="1"/>
        <v>9.7100000000000009</v>
      </c>
      <c r="C123" s="20">
        <f t="shared" si="23"/>
        <v>2.8499999999999979</v>
      </c>
      <c r="D123" s="20">
        <f t="shared" si="7"/>
        <v>8.1224999999999881</v>
      </c>
      <c r="E123" s="20">
        <f t="shared" si="8"/>
        <v>78.869474999999895</v>
      </c>
      <c r="F123" s="20">
        <f t="shared" si="9"/>
        <v>7.1224999999999881</v>
      </c>
      <c r="G123" s="20">
        <f>1</f>
        <v>1</v>
      </c>
      <c r="H123" s="20">
        <f t="shared" si="10"/>
        <v>4.9812299999999965</v>
      </c>
      <c r="I123" s="20" t="str">
        <f t="shared" si="11"/>
        <v>1+4.98123j</v>
      </c>
      <c r="K123" s="20" t="str">
        <f t="shared" si="12"/>
        <v>7.12249999999999+35.4788106749999j</v>
      </c>
      <c r="M123" s="20" t="str">
        <f t="shared" si="26"/>
        <v>85.9919749999999+35.4788106749999j</v>
      </c>
      <c r="O123" s="20" t="str">
        <f t="shared" si="27"/>
        <v>0.783757684778181-0.323364947872419j</v>
      </c>
      <c r="S123" s="20">
        <f t="shared" si="13"/>
        <v>0.84784491386183747</v>
      </c>
      <c r="U123" s="20">
        <f t="shared" si="4"/>
        <v>1.7671874999999999</v>
      </c>
      <c r="V123" s="20">
        <f t="shared" si="5"/>
        <v>1.0214285714285714</v>
      </c>
      <c r="X123" s="20">
        <f t="shared" si="24"/>
        <v>1E-3</v>
      </c>
      <c r="Y123" s="20">
        <f t="shared" si="6"/>
        <v>9.7100000000000009</v>
      </c>
      <c r="Z123" s="20">
        <f t="shared" si="25"/>
        <v>2.8499999999999979</v>
      </c>
      <c r="AA123" s="20">
        <f t="shared" si="14"/>
        <v>8.1224999999999881</v>
      </c>
      <c r="AB123" s="20">
        <f t="shared" si="15"/>
        <v>78.869474999999895</v>
      </c>
      <c r="AC123" s="20">
        <f t="shared" si="16"/>
        <v>7.1224999999999881</v>
      </c>
      <c r="AD123" s="20">
        <v>1</v>
      </c>
      <c r="AE123" s="20">
        <f t="shared" si="17"/>
        <v>2.7673499999999983E-2</v>
      </c>
      <c r="AF123" s="20" t="str">
        <f t="shared" si="18"/>
        <v>1+0.0276735j</v>
      </c>
      <c r="AH123" s="20" t="str">
        <f t="shared" si="19"/>
        <v>7.12249999999999+0.19710450375j</v>
      </c>
      <c r="AI123" s="20" t="str">
        <f t="shared" si="20"/>
        <v>85.9919749999999+0.19710450375j</v>
      </c>
      <c r="AK123" s="20" t="str">
        <f t="shared" si="21"/>
        <v>0.917167684940221-0.00210226455893912j</v>
      </c>
      <c r="AO123" s="20">
        <f t="shared" si="22"/>
        <v>0.91717009426544238</v>
      </c>
      <c r="AP123" s="20">
        <v>57</v>
      </c>
      <c r="AR123" s="20">
        <f>Compensation!$C$16</f>
        <v>1.1000000000000001</v>
      </c>
    </row>
    <row r="124" spans="1:44" s="20" customFormat="1" x14ac:dyDescent="0.15">
      <c r="A124" s="20">
        <f t="shared" si="0"/>
        <v>0.18</v>
      </c>
      <c r="B124" s="20">
        <f t="shared" si="1"/>
        <v>9.7100000000000009</v>
      </c>
      <c r="C124" s="20">
        <f t="shared" si="23"/>
        <v>2.8999999999999977</v>
      </c>
      <c r="D124" s="20">
        <f t="shared" si="7"/>
        <v>8.4099999999999859</v>
      </c>
      <c r="E124" s="20">
        <f t="shared" si="8"/>
        <v>81.661099999999877</v>
      </c>
      <c r="F124" s="20">
        <f t="shared" si="9"/>
        <v>7.4099999999999859</v>
      </c>
      <c r="G124" s="20">
        <f>1</f>
        <v>1</v>
      </c>
      <c r="H124" s="20">
        <f t="shared" si="10"/>
        <v>5.0686199999999966</v>
      </c>
      <c r="I124" s="20" t="str">
        <f t="shared" si="11"/>
        <v>1+5.06862j</v>
      </c>
      <c r="K124" s="20" t="str">
        <f t="shared" si="12"/>
        <v>7.40999999999999+37.5584741999999j</v>
      </c>
      <c r="M124" s="20" t="str">
        <f t="shared" si="26"/>
        <v>89.0710999999999+37.5584741999999j</v>
      </c>
      <c r="O124" s="20" t="str">
        <f t="shared" si="27"/>
        <v>0.778404388684974-0.328228585361484j</v>
      </c>
      <c r="S124" s="20">
        <f t="shared" si="13"/>
        <v>0.84477653647129014</v>
      </c>
      <c r="U124" s="20">
        <f t="shared" si="4"/>
        <v>1.7671874999999999</v>
      </c>
      <c r="V124" s="20">
        <f t="shared" si="5"/>
        <v>1.0214285714285714</v>
      </c>
      <c r="X124" s="20">
        <f t="shared" si="24"/>
        <v>1E-3</v>
      </c>
      <c r="Y124" s="20">
        <f t="shared" si="6"/>
        <v>9.7100000000000009</v>
      </c>
      <c r="Z124" s="20">
        <f t="shared" si="25"/>
        <v>2.8999999999999977</v>
      </c>
      <c r="AA124" s="20">
        <f t="shared" si="14"/>
        <v>8.4099999999999859</v>
      </c>
      <c r="AB124" s="20">
        <f t="shared" si="15"/>
        <v>81.661099999999877</v>
      </c>
      <c r="AC124" s="20">
        <f t="shared" si="16"/>
        <v>7.4099999999999859</v>
      </c>
      <c r="AD124" s="20">
        <v>1</v>
      </c>
      <c r="AE124" s="20">
        <f t="shared" si="17"/>
        <v>2.8158999999999983E-2</v>
      </c>
      <c r="AF124" s="20" t="str">
        <f t="shared" si="18"/>
        <v>1+0.028159j</v>
      </c>
      <c r="AH124" s="20" t="str">
        <f t="shared" si="19"/>
        <v>7.40999999999999+0.20865819j</v>
      </c>
      <c r="AI124" s="20" t="str">
        <f t="shared" si="20"/>
        <v>89.0710999999999+0.20865819j</v>
      </c>
      <c r="AK124" s="20" t="str">
        <f t="shared" si="21"/>
        <v>0.916803001913561-0.0021477050913916j</v>
      </c>
      <c r="AO124" s="20">
        <f t="shared" si="22"/>
        <v>0.91680551751986994</v>
      </c>
      <c r="AP124" s="20">
        <v>58</v>
      </c>
      <c r="AR124" s="20">
        <f>Compensation!$C$16</f>
        <v>1.1000000000000001</v>
      </c>
    </row>
    <row r="125" spans="1:44" s="20" customFormat="1" x14ac:dyDescent="0.15">
      <c r="A125" s="20">
        <f t="shared" si="0"/>
        <v>0.18</v>
      </c>
      <c r="B125" s="20">
        <f t="shared" si="1"/>
        <v>9.7100000000000009</v>
      </c>
      <c r="C125" s="20">
        <f t="shared" si="23"/>
        <v>2.9499999999999975</v>
      </c>
      <c r="D125" s="20">
        <f t="shared" si="7"/>
        <v>8.7024999999999846</v>
      </c>
      <c r="E125" s="20">
        <f t="shared" si="8"/>
        <v>84.501274999999865</v>
      </c>
      <c r="F125" s="20">
        <f t="shared" si="9"/>
        <v>7.7024999999999846</v>
      </c>
      <c r="G125" s="20">
        <f>1</f>
        <v>1</v>
      </c>
      <c r="H125" s="20">
        <f t="shared" si="10"/>
        <v>5.1560099999999958</v>
      </c>
      <c r="I125" s="20" t="str">
        <f t="shared" si="11"/>
        <v>1+5.15601j</v>
      </c>
      <c r="K125" s="20" t="str">
        <f t="shared" si="12"/>
        <v>7.70249999999998+39.7141670249999j</v>
      </c>
      <c r="M125" s="20" t="str">
        <f t="shared" si="26"/>
        <v>92.2037749999999+39.7141670249999j</v>
      </c>
      <c r="O125" s="20" t="str">
        <f t="shared" si="27"/>
        <v>0.773045827102423-0.332967615431417j</v>
      </c>
      <c r="S125" s="20">
        <f t="shared" si="13"/>
        <v>0.8417049861599688</v>
      </c>
      <c r="U125" s="20">
        <f t="shared" si="4"/>
        <v>1.7671874999999999</v>
      </c>
      <c r="V125" s="20">
        <f t="shared" si="5"/>
        <v>1.0214285714285714</v>
      </c>
      <c r="X125" s="20">
        <f t="shared" si="24"/>
        <v>1E-3</v>
      </c>
      <c r="Y125" s="20">
        <f t="shared" si="6"/>
        <v>9.7100000000000009</v>
      </c>
      <c r="Z125" s="20">
        <f t="shared" si="25"/>
        <v>2.9499999999999975</v>
      </c>
      <c r="AA125" s="20">
        <f t="shared" si="14"/>
        <v>8.7024999999999846</v>
      </c>
      <c r="AB125" s="20">
        <f t="shared" si="15"/>
        <v>84.501274999999865</v>
      </c>
      <c r="AC125" s="20">
        <f t="shared" si="16"/>
        <v>7.7024999999999846</v>
      </c>
      <c r="AD125" s="20">
        <v>1</v>
      </c>
      <c r="AE125" s="20">
        <f t="shared" si="17"/>
        <v>2.8644499999999979E-2</v>
      </c>
      <c r="AF125" s="20" t="str">
        <f t="shared" si="18"/>
        <v>1+0.0286445j</v>
      </c>
      <c r="AH125" s="20" t="str">
        <f t="shared" si="19"/>
        <v>7.70249999999998+0.22063426125j</v>
      </c>
      <c r="AI125" s="20" t="str">
        <f t="shared" si="20"/>
        <v>92.2037749999999+0.22063426125j</v>
      </c>
      <c r="AK125" s="20" t="str">
        <f t="shared" si="21"/>
        <v>0.916456957989373-0.00219298834449466j</v>
      </c>
      <c r="AO125" s="20">
        <f t="shared" si="22"/>
        <v>0.91645958178471487</v>
      </c>
      <c r="AP125" s="20">
        <v>59</v>
      </c>
      <c r="AR125" s="20">
        <f>Compensation!$C$16</f>
        <v>1.1000000000000001</v>
      </c>
    </row>
    <row r="126" spans="1:44" s="20" customFormat="1" x14ac:dyDescent="0.15">
      <c r="A126" s="20">
        <f t="shared" si="0"/>
        <v>0.18</v>
      </c>
      <c r="B126" s="20">
        <f t="shared" si="1"/>
        <v>9.7100000000000009</v>
      </c>
      <c r="C126" s="20">
        <f t="shared" si="23"/>
        <v>2.9999999999999973</v>
      </c>
      <c r="D126" s="20">
        <f t="shared" si="7"/>
        <v>8.999999999999984</v>
      </c>
      <c r="E126" s="20">
        <f t="shared" si="8"/>
        <v>87.389999999999858</v>
      </c>
      <c r="F126" s="20">
        <f t="shared" si="9"/>
        <v>7.999999999999984</v>
      </c>
      <c r="G126" s="20">
        <f>1</f>
        <v>1</v>
      </c>
      <c r="H126" s="20">
        <f t="shared" si="10"/>
        <v>5.2433999999999958</v>
      </c>
      <c r="I126" s="20" t="str">
        <f t="shared" si="11"/>
        <v>1+5.2434j</v>
      </c>
      <c r="K126" s="20" t="str">
        <f t="shared" si="12"/>
        <v>7.99999999999998+41.9471999999999j</v>
      </c>
      <c r="M126" s="20" t="str">
        <f t="shared" si="26"/>
        <v>95.3899999999998+41.9471999999999j</v>
      </c>
      <c r="O126" s="20" t="str">
        <f t="shared" si="27"/>
        <v>0.767683076028514-0.337584186254149j</v>
      </c>
      <c r="S126" s="20">
        <f t="shared" si="13"/>
        <v>0.83863006625655701</v>
      </c>
      <c r="U126" s="20">
        <f t="shared" si="4"/>
        <v>1.7671874999999999</v>
      </c>
      <c r="V126" s="20">
        <f t="shared" si="5"/>
        <v>1.0214285714285714</v>
      </c>
      <c r="X126" s="20">
        <f t="shared" si="24"/>
        <v>1E-3</v>
      </c>
      <c r="Y126" s="20">
        <f t="shared" si="6"/>
        <v>9.7100000000000009</v>
      </c>
      <c r="Z126" s="20">
        <f t="shared" si="25"/>
        <v>2.9999999999999973</v>
      </c>
      <c r="AA126" s="20">
        <f t="shared" si="14"/>
        <v>8.999999999999984</v>
      </c>
      <c r="AB126" s="20">
        <f t="shared" si="15"/>
        <v>87.389999999999858</v>
      </c>
      <c r="AC126" s="20">
        <f t="shared" si="16"/>
        <v>7.999999999999984</v>
      </c>
      <c r="AD126" s="20">
        <v>1</v>
      </c>
      <c r="AE126" s="20">
        <f t="shared" si="17"/>
        <v>2.9129999999999979E-2</v>
      </c>
      <c r="AF126" s="20" t="str">
        <f t="shared" si="18"/>
        <v>1+0.02913j</v>
      </c>
      <c r="AH126" s="20" t="str">
        <f t="shared" si="19"/>
        <v>7.99999999999998+0.23304j</v>
      </c>
      <c r="AI126" s="20" t="str">
        <f t="shared" si="20"/>
        <v>95.3899999999998+0.23304j</v>
      </c>
      <c r="AK126" s="20" t="str">
        <f t="shared" si="21"/>
        <v>0.916128298855759-0.00223812285108865j</v>
      </c>
      <c r="AO126" s="20">
        <f t="shared" si="22"/>
        <v>0.91613103274490348</v>
      </c>
      <c r="AP126" s="20">
        <v>60</v>
      </c>
      <c r="AR126" s="20">
        <f>Compensation!$C$16</f>
        <v>1.1000000000000001</v>
      </c>
    </row>
    <row r="127" spans="1:44" s="20" customFormat="1" x14ac:dyDescent="0.15">
      <c r="A127" s="20">
        <f t="shared" si="0"/>
        <v>0.18</v>
      </c>
      <c r="B127" s="20">
        <f t="shared" si="1"/>
        <v>9.7100000000000009</v>
      </c>
      <c r="C127" s="20">
        <f t="shared" si="23"/>
        <v>3.0499999999999972</v>
      </c>
      <c r="D127" s="20">
        <f t="shared" si="7"/>
        <v>9.3024999999999824</v>
      </c>
      <c r="E127" s="20">
        <f t="shared" si="8"/>
        <v>90.327274999999844</v>
      </c>
      <c r="F127" s="20">
        <f t="shared" si="9"/>
        <v>8.3024999999999824</v>
      </c>
      <c r="G127" s="20">
        <f>1</f>
        <v>1</v>
      </c>
      <c r="H127" s="20">
        <f t="shared" si="10"/>
        <v>5.330789999999995</v>
      </c>
      <c r="I127" s="20" t="str">
        <f t="shared" si="11"/>
        <v>1+5.33079j</v>
      </c>
      <c r="K127" s="20" t="str">
        <f t="shared" si="12"/>
        <v>8.30249999999998+44.2588839749999j</v>
      </c>
      <c r="M127" s="20" t="str">
        <f t="shared" si="26"/>
        <v>98.6297749999998+44.2588839749999j</v>
      </c>
      <c r="O127" s="20" t="str">
        <f t="shared" si="27"/>
        <v>0.762317253301839-0.342080379540831j</v>
      </c>
      <c r="S127" s="20">
        <f t="shared" si="13"/>
        <v>0.83555166252510027</v>
      </c>
      <c r="U127" s="20">
        <f t="shared" si="4"/>
        <v>1.7671874999999999</v>
      </c>
      <c r="V127" s="20">
        <f t="shared" si="5"/>
        <v>1.0214285714285714</v>
      </c>
      <c r="X127" s="20">
        <f t="shared" si="24"/>
        <v>1E-3</v>
      </c>
      <c r="Y127" s="20">
        <f t="shared" si="6"/>
        <v>9.7100000000000009</v>
      </c>
      <c r="Z127" s="20">
        <f t="shared" si="25"/>
        <v>3.0499999999999972</v>
      </c>
      <c r="AA127" s="20">
        <f t="shared" si="14"/>
        <v>9.3024999999999824</v>
      </c>
      <c r="AB127" s="20">
        <f t="shared" si="15"/>
        <v>90.327274999999844</v>
      </c>
      <c r="AC127" s="20">
        <f t="shared" si="16"/>
        <v>8.3024999999999824</v>
      </c>
      <c r="AD127" s="20">
        <v>1</v>
      </c>
      <c r="AE127" s="20">
        <f t="shared" si="17"/>
        <v>2.9615499999999975E-2</v>
      </c>
      <c r="AF127" s="20" t="str">
        <f t="shared" si="18"/>
        <v>1+0.0296155j</v>
      </c>
      <c r="AH127" s="20" t="str">
        <f t="shared" si="19"/>
        <v>8.30249999999998+0.245882688749999j</v>
      </c>
      <c r="AI127" s="20" t="str">
        <f t="shared" si="20"/>
        <v>98.6297749999998+0.245882688749999j</v>
      </c>
      <c r="AK127" s="20" t="str">
        <f t="shared" si="21"/>
        <v>0.915815874274975-0.00228311652912787j</v>
      </c>
      <c r="AO127" s="20">
        <f t="shared" si="22"/>
        <v>0.9158187201597936</v>
      </c>
      <c r="AP127" s="20">
        <v>61</v>
      </c>
      <c r="AR127" s="20">
        <f>Compensation!$C$16</f>
        <v>1.1000000000000001</v>
      </c>
    </row>
    <row r="128" spans="1:44" s="20" customFormat="1" x14ac:dyDescent="0.15">
      <c r="A128" s="20">
        <f t="shared" si="0"/>
        <v>0.18</v>
      </c>
      <c r="B128" s="20">
        <f t="shared" si="1"/>
        <v>9.7100000000000009</v>
      </c>
      <c r="C128" s="20">
        <f t="shared" si="23"/>
        <v>3.099999999999997</v>
      </c>
      <c r="D128" s="20">
        <f t="shared" si="7"/>
        <v>9.6099999999999817</v>
      </c>
      <c r="E128" s="20">
        <f t="shared" si="8"/>
        <v>93.313099999999835</v>
      </c>
      <c r="F128" s="20">
        <f t="shared" si="9"/>
        <v>8.6099999999999817</v>
      </c>
      <c r="G128" s="20">
        <f>1</f>
        <v>1</v>
      </c>
      <c r="H128" s="20">
        <f t="shared" si="10"/>
        <v>5.4181799999999951</v>
      </c>
      <c r="I128" s="20" t="str">
        <f t="shared" si="11"/>
        <v>1+5.41818j</v>
      </c>
      <c r="K128" s="20" t="str">
        <f t="shared" si="12"/>
        <v>8.60999999999998+46.6505297999999j</v>
      </c>
      <c r="M128" s="20" t="str">
        <f t="shared" si="26"/>
        <v>101.9231+46.6505297999999j</v>
      </c>
      <c r="O128" s="20" t="str">
        <f t="shared" si="27"/>
        <v>0.756949509513617-0.346458218506504j</v>
      </c>
      <c r="S128" s="20">
        <f t="shared" si="13"/>
        <v>0.83246973345798314</v>
      </c>
      <c r="U128" s="20">
        <f t="shared" si="4"/>
        <v>1.7671874999999999</v>
      </c>
      <c r="V128" s="20">
        <f t="shared" si="5"/>
        <v>1.0214285714285714</v>
      </c>
      <c r="X128" s="20">
        <f t="shared" si="24"/>
        <v>1E-3</v>
      </c>
      <c r="Y128" s="20">
        <f t="shared" si="6"/>
        <v>9.7100000000000009</v>
      </c>
      <c r="Z128" s="20">
        <f t="shared" si="25"/>
        <v>3.099999999999997</v>
      </c>
      <c r="AA128" s="20">
        <f t="shared" si="14"/>
        <v>9.6099999999999817</v>
      </c>
      <c r="AB128" s="20">
        <f t="shared" si="15"/>
        <v>93.313099999999835</v>
      </c>
      <c r="AC128" s="20">
        <f t="shared" si="16"/>
        <v>8.6099999999999817</v>
      </c>
      <c r="AD128" s="20">
        <v>1</v>
      </c>
      <c r="AE128" s="20">
        <f t="shared" si="17"/>
        <v>3.0100999999999975E-2</v>
      </c>
      <c r="AF128" s="20" t="str">
        <f t="shared" si="18"/>
        <v>1+0.030101j</v>
      </c>
      <c r="AH128" s="20" t="str">
        <f t="shared" si="19"/>
        <v>8.60999999999998+0.259169609999999j</v>
      </c>
      <c r="AI128" s="20" t="str">
        <f t="shared" si="20"/>
        <v>101.9231+0.259169609999999j</v>
      </c>
      <c r="AK128" s="20" t="str">
        <f t="shared" si="21"/>
        <v>0.915518627859405-0.00232797673667752j</v>
      </c>
      <c r="AO128" s="20">
        <f t="shared" si="22"/>
        <v>0.91552158763911973</v>
      </c>
      <c r="AP128" s="20">
        <v>62</v>
      </c>
      <c r="AR128" s="20">
        <f>Compensation!$C$16</f>
        <v>1.1000000000000001</v>
      </c>
    </row>
    <row r="129" spans="1:83" s="20" customFormat="1" x14ac:dyDescent="0.15">
      <c r="A129" s="20">
        <f t="shared" si="0"/>
        <v>0.18</v>
      </c>
      <c r="B129" s="20">
        <f t="shared" si="1"/>
        <v>9.7100000000000009</v>
      </c>
      <c r="C129" s="20">
        <f t="shared" si="23"/>
        <v>3.1499999999999968</v>
      </c>
      <c r="D129" s="20">
        <f t="shared" si="7"/>
        <v>9.9224999999999799</v>
      </c>
      <c r="E129" s="20">
        <f t="shared" si="8"/>
        <v>96.347474999999818</v>
      </c>
      <c r="F129" s="20">
        <f t="shared" si="9"/>
        <v>8.9224999999999799</v>
      </c>
      <c r="G129" s="20">
        <f>1</f>
        <v>1</v>
      </c>
      <c r="H129" s="20">
        <f t="shared" si="10"/>
        <v>5.5055699999999952</v>
      </c>
      <c r="I129" s="20" t="str">
        <f t="shared" si="11"/>
        <v>1+5.50557j</v>
      </c>
      <c r="K129" s="20" t="str">
        <f t="shared" si="12"/>
        <v>8.92249999999998+49.1234483249999j</v>
      </c>
      <c r="M129" s="20" t="str">
        <f t="shared" si="26"/>
        <v>105.269975+49.1234483249999j</v>
      </c>
      <c r="O129" s="20" t="str">
        <f t="shared" si="27"/>
        <v>0.751581019942371-0.350719674771365j</v>
      </c>
      <c r="S129" s="20">
        <f t="shared" si="13"/>
        <v>0.82938430164149279</v>
      </c>
      <c r="U129" s="20">
        <f t="shared" si="4"/>
        <v>1.7671874999999999</v>
      </c>
      <c r="V129" s="20">
        <f t="shared" si="5"/>
        <v>1.0214285714285714</v>
      </c>
      <c r="X129" s="20">
        <f t="shared" si="24"/>
        <v>1E-3</v>
      </c>
      <c r="Y129" s="20">
        <f t="shared" si="6"/>
        <v>9.7100000000000009</v>
      </c>
      <c r="Z129" s="20">
        <f t="shared" si="25"/>
        <v>3.1499999999999968</v>
      </c>
      <c r="AA129" s="20">
        <f t="shared" si="14"/>
        <v>9.9224999999999799</v>
      </c>
      <c r="AB129" s="20">
        <f t="shared" si="15"/>
        <v>96.347474999999818</v>
      </c>
      <c r="AC129" s="20">
        <f t="shared" si="16"/>
        <v>8.9224999999999799</v>
      </c>
      <c r="AD129" s="20">
        <v>1</v>
      </c>
      <c r="AE129" s="20">
        <f t="shared" si="17"/>
        <v>3.0586499999999975E-2</v>
      </c>
      <c r="AF129" s="20" t="str">
        <f t="shared" si="18"/>
        <v>1+0.0305865j</v>
      </c>
      <c r="AH129" s="20" t="str">
        <f t="shared" si="19"/>
        <v>8.92249999999998+0.272908046249999j</v>
      </c>
      <c r="AI129" s="20" t="str">
        <f t="shared" si="20"/>
        <v>105.269975+0.272908046249999j</v>
      </c>
      <c r="AK129" s="20" t="str">
        <f t="shared" si="21"/>
        <v>0.915235588003719-0.00237271032106319j</v>
      </c>
      <c r="AO129" s="20">
        <f t="shared" si="22"/>
        <v>0.91523866357512496</v>
      </c>
      <c r="AP129" s="20">
        <v>63</v>
      </c>
      <c r="AR129" s="20">
        <f>Compensation!$C$16</f>
        <v>1.1000000000000001</v>
      </c>
    </row>
    <row r="130" spans="1:83" s="20" customFormat="1" x14ac:dyDescent="0.15">
      <c r="A130" s="20">
        <f t="shared" si="0"/>
        <v>0.18</v>
      </c>
      <c r="B130" s="20">
        <f t="shared" si="1"/>
        <v>9.7100000000000009</v>
      </c>
      <c r="C130" s="20">
        <f t="shared" si="23"/>
        <v>3.1999999999999966</v>
      </c>
      <c r="D130" s="20">
        <f t="shared" si="7"/>
        <v>10.239999999999979</v>
      </c>
      <c r="E130" s="20">
        <f t="shared" si="8"/>
        <v>99.430399999999807</v>
      </c>
      <c r="F130" s="20">
        <f t="shared" si="9"/>
        <v>9.2399999999999789</v>
      </c>
      <c r="G130" s="20">
        <f>1</f>
        <v>1</v>
      </c>
      <c r="H130" s="20">
        <f t="shared" si="10"/>
        <v>5.5929599999999944</v>
      </c>
      <c r="I130" s="20" t="str">
        <f t="shared" si="11"/>
        <v>1+5.59295999999999j</v>
      </c>
      <c r="K130" s="20" t="str">
        <f t="shared" si="12"/>
        <v>9.23999999999998+51.6789503999998j</v>
      </c>
      <c r="M130" s="20" t="str">
        <f t="shared" ref="M130:M137" si="28">IMSUM(K130,E130)</f>
        <v>108.6704+51.6789503999998j</v>
      </c>
      <c r="O130" s="20" t="str">
        <f t="shared" ref="O130:O137" si="29">IMDIV(E130,M130)</f>
        <v>0.746212977392998-0.354866674333847j</v>
      </c>
      <c r="S130" s="20">
        <f t="shared" si="13"/>
        <v>0.82629544606181127</v>
      </c>
      <c r="U130" s="20">
        <f t="shared" si="4"/>
        <v>1.7671874999999999</v>
      </c>
      <c r="V130" s="20">
        <f t="shared" si="5"/>
        <v>1.0214285714285714</v>
      </c>
      <c r="X130" s="20">
        <f t="shared" si="24"/>
        <v>1E-3</v>
      </c>
      <c r="Y130" s="20">
        <f t="shared" si="6"/>
        <v>9.7100000000000009</v>
      </c>
      <c r="Z130" s="20">
        <f t="shared" si="25"/>
        <v>3.1999999999999966</v>
      </c>
      <c r="AA130" s="20">
        <f t="shared" si="14"/>
        <v>10.239999999999979</v>
      </c>
      <c r="AB130" s="20">
        <f t="shared" si="15"/>
        <v>99.430399999999807</v>
      </c>
      <c r="AC130" s="20">
        <f t="shared" si="16"/>
        <v>9.2399999999999789</v>
      </c>
      <c r="AD130" s="20">
        <v>1</v>
      </c>
      <c r="AE130" s="20">
        <f t="shared" si="17"/>
        <v>3.1071999999999971E-2</v>
      </c>
      <c r="AF130" s="20" t="str">
        <f t="shared" si="18"/>
        <v>1+0.031072j</v>
      </c>
      <c r="AH130" s="20" t="str">
        <f t="shared" si="19"/>
        <v>9.23999999999998+0.287105279999999j</v>
      </c>
      <c r="AI130" s="20" t="str">
        <f t="shared" si="20"/>
        <v>108.6704+0.287105279999999j</v>
      </c>
      <c r="AK130" s="20" t="str">
        <f t="shared" si="21"/>
        <v>0.914965859825792-0.00241732366289002j</v>
      </c>
      <c r="AO130" s="20">
        <f t="shared" si="22"/>
        <v>0.91496905308345922</v>
      </c>
      <c r="AP130" s="20">
        <v>64</v>
      </c>
      <c r="AR130" s="20">
        <f>Compensation!$C$16</f>
        <v>1.1000000000000001</v>
      </c>
    </row>
    <row r="131" spans="1:83" s="20" customFormat="1" x14ac:dyDescent="0.15">
      <c r="A131" s="20">
        <f t="shared" si="0"/>
        <v>0.18</v>
      </c>
      <c r="B131" s="20">
        <f t="shared" si="1"/>
        <v>9.7100000000000009</v>
      </c>
      <c r="C131" s="20">
        <f t="shared" si="23"/>
        <v>3.2499999999999964</v>
      </c>
      <c r="D131" s="20">
        <f t="shared" ref="D131:D137" si="30">C131^2</f>
        <v>10.562499999999977</v>
      </c>
      <c r="E131" s="20">
        <f t="shared" ref="E131:E137" si="31">B131*D131</f>
        <v>102.56187499999979</v>
      </c>
      <c r="F131" s="20">
        <f t="shared" ref="F131:F137" si="32">C131^2-1</f>
        <v>9.5624999999999769</v>
      </c>
      <c r="G131" s="20">
        <f>1</f>
        <v>1</v>
      </c>
      <c r="H131" s="20">
        <f t="shared" ref="H131:H137" si="33">C131*B131*A131</f>
        <v>5.6803499999999945</v>
      </c>
      <c r="I131" s="20" t="str">
        <f t="shared" ref="I131:I137" si="34">COMPLEX(G131,H131,"j")</f>
        <v>1+5.68034999999999j</v>
      </c>
      <c r="K131" s="20" t="str">
        <f t="shared" ref="K131:K137" si="35">IMPRODUCT(I131,F131)</f>
        <v>9.56249999999998+54.3183468749998j</v>
      </c>
      <c r="M131" s="20" t="str">
        <f t="shared" si="28"/>
        <v>112.124375+54.3183468749998j</v>
      </c>
      <c r="O131" s="20" t="str">
        <f t="shared" si="29"/>
        <v>0.740846585837847-0.358901102732564j</v>
      </c>
      <c r="S131" s="20">
        <f t="shared" ref="S131:S137" si="36">IMABS(O131)</f>
        <v>0.8232032952377224</v>
      </c>
      <c r="U131" s="20">
        <f t="shared" si="4"/>
        <v>1.7671874999999999</v>
      </c>
      <c r="V131" s="20">
        <f t="shared" si="5"/>
        <v>1.0214285714285714</v>
      </c>
      <c r="X131" s="20">
        <f t="shared" si="24"/>
        <v>1E-3</v>
      </c>
      <c r="Y131" s="20">
        <f t="shared" si="6"/>
        <v>9.7100000000000009</v>
      </c>
      <c r="Z131" s="20">
        <f t="shared" si="25"/>
        <v>3.2499999999999964</v>
      </c>
      <c r="AA131" s="20">
        <f t="shared" ref="AA131:AA137" si="37">Z131^2</f>
        <v>10.562499999999977</v>
      </c>
      <c r="AB131" s="20">
        <f t="shared" ref="AB131:AB137" si="38">Y131*AA131</f>
        <v>102.56187499999979</v>
      </c>
      <c r="AC131" s="20">
        <f t="shared" ref="AC131:AC137" si="39">Z131^2-1</f>
        <v>9.5624999999999769</v>
      </c>
      <c r="AD131" s="20">
        <v>1</v>
      </c>
      <c r="AE131" s="20">
        <f t="shared" ref="AE131:AE137" si="40">Z131*Y131*X131</f>
        <v>3.1557499999999968E-2</v>
      </c>
      <c r="AF131" s="20" t="str">
        <f t="shared" ref="AF131:AF137" si="41">COMPLEX(AD131,AE131,"j")</f>
        <v>1+0.0315575j</v>
      </c>
      <c r="AH131" s="20" t="str">
        <f t="shared" ref="AH131:AH137" si="42">IMPRODUCT(AF131,AC131)</f>
        <v>9.56249999999998+0.301768593749999j</v>
      </c>
      <c r="AI131" s="20" t="str">
        <f t="shared" ref="AI131:AI137" si="43">IMSUM(AH131,AB131)</f>
        <v>112.124375+0.301768593749999j</v>
      </c>
      <c r="AK131" s="20" t="str">
        <f t="shared" ref="AK131:AK137" si="44">IMDIV(AB131,AI131)</f>
        <v>0.914708617989807-0.00246182271554949j</v>
      </c>
      <c r="AO131" s="20">
        <f t="shared" ref="AO131:AO137" si="45">IMABS(AK131)</f>
        <v>0.91471193082626046</v>
      </c>
      <c r="AP131" s="20">
        <v>65</v>
      </c>
      <c r="AR131" s="20">
        <f>Compensation!$C$16</f>
        <v>1.1000000000000001</v>
      </c>
    </row>
    <row r="132" spans="1:83" s="20" customFormat="1" x14ac:dyDescent="0.15">
      <c r="A132" s="20">
        <f t="shared" si="0"/>
        <v>0.18</v>
      </c>
      <c r="B132" s="20">
        <f t="shared" si="1"/>
        <v>9.7100000000000009</v>
      </c>
      <c r="C132" s="20">
        <f t="shared" ref="C132:C137" si="46">C131+0.05</f>
        <v>3.2999999999999963</v>
      </c>
      <c r="D132" s="20">
        <f t="shared" si="30"/>
        <v>10.889999999999976</v>
      </c>
      <c r="E132" s="20">
        <f t="shared" si="31"/>
        <v>105.74189999999977</v>
      </c>
      <c r="F132" s="20">
        <f t="shared" si="32"/>
        <v>9.8899999999999757</v>
      </c>
      <c r="G132" s="20">
        <f>1</f>
        <v>1</v>
      </c>
      <c r="H132" s="20">
        <f t="shared" si="33"/>
        <v>5.7677399999999936</v>
      </c>
      <c r="I132" s="20" t="str">
        <f t="shared" si="34"/>
        <v>1+5.76773999999999j</v>
      </c>
      <c r="K132" s="20" t="str">
        <f t="shared" si="35"/>
        <v>9.88999999999998+57.0429485999998j</v>
      </c>
      <c r="M132" s="20" t="str">
        <f t="shared" si="28"/>
        <v>115.6319+57.0429485999998j</v>
      </c>
      <c r="O132" s="20" t="str">
        <f t="shared" si="29"/>
        <v>0.735483054770901-0.362824809498653j</v>
      </c>
      <c r="S132" s="20">
        <f t="shared" si="36"/>
        <v>0.82010802108189984</v>
      </c>
      <c r="U132" s="20">
        <f t="shared" si="4"/>
        <v>1.7671874999999999</v>
      </c>
      <c r="V132" s="20">
        <f t="shared" si="5"/>
        <v>1.0214285714285714</v>
      </c>
      <c r="X132" s="20">
        <f t="shared" ref="X132:X137" si="47">X131</f>
        <v>1E-3</v>
      </c>
      <c r="Y132" s="20">
        <f t="shared" si="6"/>
        <v>9.7100000000000009</v>
      </c>
      <c r="Z132" s="20">
        <f t="shared" ref="Z132:Z137" si="48">Z131+0.05</f>
        <v>3.2999999999999963</v>
      </c>
      <c r="AA132" s="20">
        <f t="shared" si="37"/>
        <v>10.889999999999976</v>
      </c>
      <c r="AB132" s="20">
        <f t="shared" si="38"/>
        <v>105.74189999999977</v>
      </c>
      <c r="AC132" s="20">
        <f t="shared" si="39"/>
        <v>9.8899999999999757</v>
      </c>
      <c r="AD132" s="20">
        <v>1</v>
      </c>
      <c r="AE132" s="20">
        <f t="shared" si="40"/>
        <v>3.2042999999999967E-2</v>
      </c>
      <c r="AF132" s="20" t="str">
        <f t="shared" si="41"/>
        <v>1+0.032043j</v>
      </c>
      <c r="AH132" s="20" t="str">
        <f t="shared" si="42"/>
        <v>9.88999999999998+0.316905269999999j</v>
      </c>
      <c r="AI132" s="20" t="str">
        <f t="shared" si="43"/>
        <v>115.6319+0.316905269999999j</v>
      </c>
      <c r="AK132" s="20" t="str">
        <f t="shared" si="44"/>
        <v>0.914463100302593-0.00250621304074766j</v>
      </c>
      <c r="AO132" s="20">
        <f t="shared" si="45"/>
        <v>0.91446653460847649</v>
      </c>
      <c r="AP132" s="20">
        <v>66</v>
      </c>
      <c r="AR132" s="20">
        <f>Compensation!$C$16</f>
        <v>1.1000000000000001</v>
      </c>
    </row>
    <row r="133" spans="1:83" s="20" customFormat="1" x14ac:dyDescent="0.15">
      <c r="A133" s="20">
        <f t="shared" si="0"/>
        <v>0.18</v>
      </c>
      <c r="B133" s="20">
        <f t="shared" si="1"/>
        <v>9.7100000000000009</v>
      </c>
      <c r="C133" s="20">
        <f t="shared" si="46"/>
        <v>3.3499999999999961</v>
      </c>
      <c r="D133" s="20">
        <f t="shared" si="30"/>
        <v>11.222499999999973</v>
      </c>
      <c r="E133" s="20">
        <f t="shared" si="31"/>
        <v>108.97047499999975</v>
      </c>
      <c r="F133" s="20">
        <f t="shared" si="32"/>
        <v>10.222499999999973</v>
      </c>
      <c r="G133" s="20">
        <f>1</f>
        <v>1</v>
      </c>
      <c r="H133" s="20">
        <f t="shared" si="33"/>
        <v>5.8551299999999937</v>
      </c>
      <c r="I133" s="20" t="str">
        <f t="shared" si="34"/>
        <v>1+5.85512999999999j</v>
      </c>
      <c r="K133" s="20" t="str">
        <f t="shared" si="35"/>
        <v>10.2225+59.8540664249997j</v>
      </c>
      <c r="M133" s="20" t="str">
        <f t="shared" si="28"/>
        <v>119.192975+59.8540664249997j</v>
      </c>
      <c r="O133" s="20" t="str">
        <f t="shared" si="29"/>
        <v>0.730123594197572-0.366639611986873j</v>
      </c>
      <c r="S133" s="20">
        <f t="shared" si="36"/>
        <v>0.81700983340585664</v>
      </c>
      <c r="U133" s="20">
        <f t="shared" si="4"/>
        <v>1.7671874999999999</v>
      </c>
      <c r="V133" s="20">
        <f t="shared" si="5"/>
        <v>1.0214285714285714</v>
      </c>
      <c r="X133" s="20">
        <f t="shared" si="47"/>
        <v>1E-3</v>
      </c>
      <c r="Y133" s="20">
        <f t="shared" si="6"/>
        <v>9.7100000000000009</v>
      </c>
      <c r="Z133" s="20">
        <f t="shared" si="48"/>
        <v>3.3499999999999961</v>
      </c>
      <c r="AA133" s="20">
        <f t="shared" si="37"/>
        <v>11.222499999999973</v>
      </c>
      <c r="AB133" s="20">
        <f t="shared" si="38"/>
        <v>108.97047499999975</v>
      </c>
      <c r="AC133" s="20">
        <f t="shared" si="39"/>
        <v>10.222499999999973</v>
      </c>
      <c r="AD133" s="20">
        <v>1</v>
      </c>
      <c r="AE133" s="20">
        <f t="shared" si="40"/>
        <v>3.2528499999999967E-2</v>
      </c>
      <c r="AF133" s="20" t="str">
        <f t="shared" si="41"/>
        <v>1+0.0325285j</v>
      </c>
      <c r="AH133" s="20" t="str">
        <f t="shared" si="42"/>
        <v>10.2225+0.332522591249999j</v>
      </c>
      <c r="AI133" s="20" t="str">
        <f t="shared" si="43"/>
        <v>119.192975+0.332522591249999j</v>
      </c>
      <c r="AK133" s="20" t="str">
        <f t="shared" si="44"/>
        <v>0.914228601989201-0.00255049984051756j</v>
      </c>
      <c r="AO133" s="20">
        <f t="shared" si="45"/>
        <v>0.91423215965342475</v>
      </c>
      <c r="AP133" s="20">
        <v>67</v>
      </c>
      <c r="AR133" s="20">
        <f>Compensation!$C$16</f>
        <v>1.1000000000000001</v>
      </c>
    </row>
    <row r="134" spans="1:83" s="20" customFormat="1" x14ac:dyDescent="0.15">
      <c r="A134" s="20">
        <f t="shared" si="0"/>
        <v>0.18</v>
      </c>
      <c r="B134" s="20">
        <f t="shared" si="1"/>
        <v>9.7100000000000009</v>
      </c>
      <c r="C134" s="20">
        <f t="shared" si="46"/>
        <v>3.3999999999999959</v>
      </c>
      <c r="D134" s="20">
        <f t="shared" si="30"/>
        <v>11.559999999999972</v>
      </c>
      <c r="E134" s="20">
        <f t="shared" si="31"/>
        <v>112.24759999999974</v>
      </c>
      <c r="F134" s="20">
        <f t="shared" si="32"/>
        <v>10.559999999999972</v>
      </c>
      <c r="G134" s="20">
        <f>1</f>
        <v>1</v>
      </c>
      <c r="H134" s="20">
        <f t="shared" si="33"/>
        <v>5.9425199999999929</v>
      </c>
      <c r="I134" s="20" t="str">
        <f t="shared" si="34"/>
        <v>1+5.94251999999999j</v>
      </c>
      <c r="K134" s="20" t="str">
        <f t="shared" si="35"/>
        <v>10.56+62.7530111999997j</v>
      </c>
      <c r="M134" s="20" t="str">
        <f t="shared" si="28"/>
        <v>122.8076+62.7530111999997j</v>
      </c>
      <c r="O134" s="20" t="str">
        <f t="shared" si="29"/>
        <v>0.724769410192401-0.370347298662468j</v>
      </c>
      <c r="S134" s="20">
        <f t="shared" si="36"/>
        <v>0.81390897499488735</v>
      </c>
      <c r="U134" s="20">
        <f t="shared" si="4"/>
        <v>1.7671874999999999</v>
      </c>
      <c r="V134" s="20">
        <f t="shared" si="5"/>
        <v>1.0214285714285714</v>
      </c>
      <c r="X134" s="20">
        <f t="shared" si="47"/>
        <v>1E-3</v>
      </c>
      <c r="Y134" s="20">
        <f t="shared" si="6"/>
        <v>9.7100000000000009</v>
      </c>
      <c r="Z134" s="20">
        <f t="shared" si="48"/>
        <v>3.3999999999999959</v>
      </c>
      <c r="AA134" s="20">
        <f t="shared" si="37"/>
        <v>11.559999999999972</v>
      </c>
      <c r="AB134" s="20">
        <f t="shared" si="38"/>
        <v>112.24759999999974</v>
      </c>
      <c r="AC134" s="20">
        <f t="shared" si="39"/>
        <v>10.559999999999972</v>
      </c>
      <c r="AD134" s="20">
        <v>1</v>
      </c>
      <c r="AE134" s="20">
        <f t="shared" si="40"/>
        <v>3.301399999999996E-2</v>
      </c>
      <c r="AF134" s="20" t="str">
        <f t="shared" si="41"/>
        <v>1+0.033014j</v>
      </c>
      <c r="AH134" s="20" t="str">
        <f t="shared" si="42"/>
        <v>10.56+0.348627839999999j</v>
      </c>
      <c r="AI134" s="20" t="str">
        <f t="shared" si="43"/>
        <v>122.8076+0.348627839999999j</v>
      </c>
      <c r="AK134" s="20" t="str">
        <f t="shared" si="44"/>
        <v>0.914004470566412-0.0025946879861174j</v>
      </c>
      <c r="AO134" s="20">
        <f t="shared" si="45"/>
        <v>0.91400815347628728</v>
      </c>
      <c r="AP134" s="20">
        <v>68</v>
      </c>
      <c r="AR134" s="20">
        <f>Compensation!$C$16</f>
        <v>1.1000000000000001</v>
      </c>
    </row>
    <row r="135" spans="1:83" s="20" customFormat="1" x14ac:dyDescent="0.15">
      <c r="A135" s="20">
        <f t="shared" si="0"/>
        <v>0.18</v>
      </c>
      <c r="B135" s="20">
        <f t="shared" si="1"/>
        <v>9.7100000000000009</v>
      </c>
      <c r="C135" s="20">
        <f t="shared" si="46"/>
        <v>3.4499999999999957</v>
      </c>
      <c r="D135" s="20">
        <f t="shared" si="30"/>
        <v>11.902499999999971</v>
      </c>
      <c r="E135" s="20">
        <f t="shared" si="31"/>
        <v>115.57327499999974</v>
      </c>
      <c r="F135" s="20">
        <f t="shared" si="32"/>
        <v>10.902499999999971</v>
      </c>
      <c r="G135" s="20">
        <f>1</f>
        <v>1</v>
      </c>
      <c r="H135" s="20">
        <f t="shared" si="33"/>
        <v>6.029909999999993</v>
      </c>
      <c r="I135" s="20" t="str">
        <f t="shared" si="34"/>
        <v>1+6.02990999999999j</v>
      </c>
      <c r="K135" s="20" t="str">
        <f t="shared" si="35"/>
        <v>10.9025+65.7410937749997j</v>
      </c>
      <c r="M135" s="20" t="str">
        <f t="shared" si="28"/>
        <v>126.475775+65.7410937749997j</v>
      </c>
      <c r="O135" s="20" t="str">
        <f t="shared" si="29"/>
        <v>0.719421700965278-0.373949631911156j</v>
      </c>
      <c r="S135" s="20">
        <f t="shared" si="36"/>
        <v>0.81080571718893479</v>
      </c>
      <c r="U135" s="20">
        <f t="shared" si="4"/>
        <v>1.7671874999999999</v>
      </c>
      <c r="V135" s="20">
        <f t="shared" si="5"/>
        <v>1.0214285714285714</v>
      </c>
      <c r="X135" s="20">
        <f t="shared" si="47"/>
        <v>1E-3</v>
      </c>
      <c r="Y135" s="20">
        <f t="shared" si="6"/>
        <v>9.7100000000000009</v>
      </c>
      <c r="Z135" s="20">
        <f t="shared" si="48"/>
        <v>3.4499999999999957</v>
      </c>
      <c r="AA135" s="20">
        <f t="shared" si="37"/>
        <v>11.902499999999971</v>
      </c>
      <c r="AB135" s="20">
        <f t="shared" si="38"/>
        <v>115.57327499999974</v>
      </c>
      <c r="AC135" s="20">
        <f t="shared" si="39"/>
        <v>10.902499999999971</v>
      </c>
      <c r="AD135" s="20">
        <v>1</v>
      </c>
      <c r="AE135" s="20">
        <f t="shared" si="40"/>
        <v>3.349949999999996E-2</v>
      </c>
      <c r="AF135" s="20" t="str">
        <f t="shared" si="41"/>
        <v>1+0.0334995j</v>
      </c>
      <c r="AH135" s="20" t="str">
        <f t="shared" si="42"/>
        <v>10.9025+0.365228298749999j</v>
      </c>
      <c r="AI135" s="20" t="str">
        <f t="shared" si="43"/>
        <v>126.475775+0.365228298749999j</v>
      </c>
      <c r="AK135" s="20" t="str">
        <f t="shared" si="44"/>
        <v>0.913790101243681-0.00263878204416473j</v>
      </c>
      <c r="AO135" s="20">
        <f t="shared" si="45"/>
        <v>0.91379391128504095</v>
      </c>
      <c r="AP135" s="20">
        <v>69</v>
      </c>
      <c r="AR135" s="20">
        <f>Compensation!$C$16</f>
        <v>1.1000000000000001</v>
      </c>
    </row>
    <row r="136" spans="1:83" s="20" customFormat="1" x14ac:dyDescent="0.15">
      <c r="A136" s="20">
        <f t="shared" si="0"/>
        <v>0.18</v>
      </c>
      <c r="B136" s="20">
        <f t="shared" si="1"/>
        <v>9.7100000000000009</v>
      </c>
      <c r="C136" s="20">
        <f t="shared" si="46"/>
        <v>3.4999999999999956</v>
      </c>
      <c r="D136" s="20">
        <f t="shared" si="30"/>
        <v>12.249999999999968</v>
      </c>
      <c r="E136" s="20">
        <f t="shared" si="31"/>
        <v>118.94749999999971</v>
      </c>
      <c r="F136" s="20">
        <f t="shared" si="32"/>
        <v>11.249999999999968</v>
      </c>
      <c r="G136" s="20">
        <f>1</f>
        <v>1</v>
      </c>
      <c r="H136" s="20">
        <f t="shared" si="33"/>
        <v>6.1172999999999922</v>
      </c>
      <c r="I136" s="20" t="str">
        <f t="shared" si="34"/>
        <v>1+6.11729999999999j</v>
      </c>
      <c r="K136" s="20" t="str">
        <f t="shared" si="35"/>
        <v>11.25+68.8196249999997j</v>
      </c>
      <c r="M136" s="20" t="str">
        <f t="shared" si="28"/>
        <v>130.1975+68.8196249999997j</v>
      </c>
      <c r="O136" s="20" t="str">
        <f t="shared" si="29"/>
        <v>0.714081653383955-0.37744835043118j</v>
      </c>
      <c r="S136" s="20">
        <f t="shared" si="36"/>
        <v>0.80770035591349199</v>
      </c>
      <c r="U136" s="20">
        <f t="shared" si="4"/>
        <v>1.7671874999999999</v>
      </c>
      <c r="V136" s="20">
        <f t="shared" si="5"/>
        <v>1.0214285714285714</v>
      </c>
      <c r="X136" s="20">
        <f t="shared" si="47"/>
        <v>1E-3</v>
      </c>
      <c r="Y136" s="20">
        <f t="shared" si="6"/>
        <v>9.7100000000000009</v>
      </c>
      <c r="Z136" s="20">
        <f t="shared" si="48"/>
        <v>3.4999999999999956</v>
      </c>
      <c r="AA136" s="20">
        <f t="shared" si="37"/>
        <v>12.249999999999968</v>
      </c>
      <c r="AB136" s="20">
        <f t="shared" si="38"/>
        <v>118.94749999999971</v>
      </c>
      <c r="AC136" s="20">
        <f t="shared" si="39"/>
        <v>11.249999999999968</v>
      </c>
      <c r="AD136" s="20">
        <v>1</v>
      </c>
      <c r="AE136" s="20">
        <f t="shared" si="40"/>
        <v>3.398499999999996E-2</v>
      </c>
      <c r="AF136" s="20" t="str">
        <f t="shared" si="41"/>
        <v>1+0.033985j</v>
      </c>
      <c r="AH136" s="20" t="str">
        <f t="shared" si="42"/>
        <v>11.25+0.382331249999999j</v>
      </c>
      <c r="AI136" s="20" t="str">
        <f t="shared" si="43"/>
        <v>130.1975+0.382331249999999j</v>
      </c>
      <c r="AK136" s="20" t="str">
        <f t="shared" si="44"/>
        <v>0.913584932790261-0.00268278630031195j</v>
      </c>
      <c r="AO136" s="20">
        <f t="shared" si="45"/>
        <v>0.91358887184757176</v>
      </c>
      <c r="AP136" s="20">
        <v>70</v>
      </c>
      <c r="AR136" s="20">
        <f>Compensation!$C$16</f>
        <v>1.1000000000000001</v>
      </c>
    </row>
    <row r="137" spans="1:83" s="20" customFormat="1" x14ac:dyDescent="0.15">
      <c r="A137" s="20">
        <f t="shared" si="0"/>
        <v>0.18</v>
      </c>
      <c r="B137" s="20">
        <f t="shared" si="1"/>
        <v>9.7100000000000009</v>
      </c>
      <c r="C137" s="20">
        <f t="shared" si="46"/>
        <v>3.5499999999999954</v>
      </c>
      <c r="D137" s="20">
        <f t="shared" si="30"/>
        <v>12.602499999999967</v>
      </c>
      <c r="E137" s="20">
        <f t="shared" si="31"/>
        <v>122.37027499999969</v>
      </c>
      <c r="F137" s="20">
        <f t="shared" si="32"/>
        <v>11.602499999999967</v>
      </c>
      <c r="G137" s="20">
        <f>1</f>
        <v>1</v>
      </c>
      <c r="H137" s="20">
        <f t="shared" si="33"/>
        <v>6.2046899999999923</v>
      </c>
      <c r="I137" s="20" t="str">
        <f t="shared" si="34"/>
        <v>1+6.20468999999999j</v>
      </c>
      <c r="K137" s="20" t="str">
        <f t="shared" si="35"/>
        <v>11.6025+71.9899157249997j</v>
      </c>
      <c r="M137" s="20" t="str">
        <f t="shared" si="28"/>
        <v>133.972775+71.9899157249997j</v>
      </c>
      <c r="O137" s="20" t="str">
        <f t="shared" si="29"/>
        <v>0.708750439906749-0.380845171259185j</v>
      </c>
      <c r="S137" s="20">
        <f t="shared" si="36"/>
        <v>0.80459320811168189</v>
      </c>
      <c r="U137" s="20">
        <f t="shared" si="4"/>
        <v>1.7671874999999999</v>
      </c>
      <c r="V137" s="20">
        <f t="shared" si="5"/>
        <v>1.0214285714285714</v>
      </c>
      <c r="X137" s="20">
        <f t="shared" si="47"/>
        <v>1E-3</v>
      </c>
      <c r="Y137" s="20">
        <f t="shared" si="6"/>
        <v>9.7100000000000009</v>
      </c>
      <c r="Z137" s="20">
        <f t="shared" si="48"/>
        <v>3.5499999999999954</v>
      </c>
      <c r="AA137" s="20">
        <f t="shared" si="37"/>
        <v>12.602499999999967</v>
      </c>
      <c r="AB137" s="20">
        <f t="shared" si="38"/>
        <v>122.37027499999969</v>
      </c>
      <c r="AC137" s="20">
        <f t="shared" si="39"/>
        <v>11.602499999999967</v>
      </c>
      <c r="AD137" s="20">
        <v>1</v>
      </c>
      <c r="AE137" s="20">
        <f t="shared" si="40"/>
        <v>3.447049999999996E-2</v>
      </c>
      <c r="AF137" s="20" t="str">
        <f t="shared" si="41"/>
        <v>1+0.0344705j</v>
      </c>
      <c r="AH137" s="20" t="str">
        <f t="shared" si="42"/>
        <v>11.6025+0.399943976249999j</v>
      </c>
      <c r="AI137" s="20" t="str">
        <f t="shared" si="43"/>
        <v>133.972775+0.399943976249999j</v>
      </c>
      <c r="AK137" s="20" t="str">
        <f t="shared" si="44"/>
        <v>0.913388443815153-0.0027267047807305j</v>
      </c>
      <c r="AO137" s="20">
        <f t="shared" si="45"/>
        <v>0.91339251377161412</v>
      </c>
      <c r="AP137" s="20">
        <v>71</v>
      </c>
      <c r="AR137" s="20">
        <f>Compensation!$C$16</f>
        <v>1.1000000000000001</v>
      </c>
    </row>
    <row r="138" spans="1:83" x14ac:dyDescent="0.15">
      <c r="CC138" s="18"/>
      <c r="CD138" s="18"/>
      <c r="CE138" s="18"/>
    </row>
    <row r="139" spans="1:83" x14ac:dyDescent="0.15">
      <c r="CC139" s="18"/>
      <c r="CD139" s="18"/>
      <c r="CE139" s="18"/>
    </row>
    <row r="140" spans="1:83" x14ac:dyDescent="0.15">
      <c r="A140" s="16"/>
      <c r="B140" s="16"/>
      <c r="C140" s="17"/>
      <c r="D140" s="16"/>
      <c r="E140" s="16"/>
      <c r="F140" s="16"/>
      <c r="G140" s="16"/>
      <c r="H140" s="16"/>
      <c r="I140" s="16"/>
      <c r="J140" s="16"/>
      <c r="K140" s="16"/>
      <c r="L140" s="16"/>
      <c r="M140" s="16"/>
      <c r="N140" s="16"/>
      <c r="O140" s="16"/>
      <c r="P140" s="16"/>
      <c r="Q140" s="16"/>
      <c r="R140" s="16"/>
      <c r="S140" s="17"/>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CC140" s="18"/>
      <c r="CD140" s="18"/>
      <c r="CE140" s="18"/>
    </row>
    <row r="141" spans="1:83" x14ac:dyDescent="0.15">
      <c r="CC141" s="18"/>
      <c r="CD141" s="18"/>
      <c r="CE141" s="18"/>
    </row>
    <row r="142" spans="1:83" x14ac:dyDescent="0.15">
      <c r="CC142" s="18"/>
      <c r="CD142" s="18"/>
      <c r="CE142" s="18"/>
    </row>
    <row r="143" spans="1:83" x14ac:dyDescent="0.15">
      <c r="CC143" s="18"/>
      <c r="CD143" s="18"/>
      <c r="CE143" s="18"/>
    </row>
    <row r="144" spans="1:83" x14ac:dyDescent="0.15">
      <c r="CC144" s="18"/>
      <c r="CD144" s="18"/>
      <c r="CE144" s="18"/>
    </row>
    <row r="145" spans="81:83" x14ac:dyDescent="0.15">
      <c r="CC145" s="18"/>
      <c r="CD145" s="18"/>
      <c r="CE145" s="18"/>
    </row>
    <row r="146" spans="81:83" x14ac:dyDescent="0.15">
      <c r="CC146" s="18"/>
      <c r="CD146" s="18"/>
      <c r="CE146" s="18"/>
    </row>
    <row r="147" spans="81:83" x14ac:dyDescent="0.15">
      <c r="CC147" s="18"/>
      <c r="CD147" s="18"/>
      <c r="CE147" s="18"/>
    </row>
    <row r="148" spans="81:83" x14ac:dyDescent="0.15">
      <c r="CC148" s="18"/>
      <c r="CD148" s="18"/>
      <c r="CE148" s="18"/>
    </row>
    <row r="149" spans="81:83" x14ac:dyDescent="0.15">
      <c r="CC149" s="18"/>
      <c r="CD149" s="18"/>
      <c r="CE149" s="18"/>
    </row>
    <row r="150" spans="81:83" x14ac:dyDescent="0.15">
      <c r="CC150" s="18"/>
      <c r="CD150" s="18"/>
      <c r="CE150" s="18"/>
    </row>
    <row r="151" spans="81:83" x14ac:dyDescent="0.15">
      <c r="CC151" s="18"/>
      <c r="CD151" s="18"/>
      <c r="CE151" s="18"/>
    </row>
    <row r="152" spans="81:83" x14ac:dyDescent="0.15">
      <c r="CC152" s="18"/>
      <c r="CD152" s="18"/>
      <c r="CE152" s="18"/>
    </row>
    <row r="153" spans="81:83" x14ac:dyDescent="0.15">
      <c r="CC153" s="18"/>
      <c r="CD153" s="18"/>
      <c r="CE153" s="18"/>
    </row>
    <row r="154" spans="81:83" x14ac:dyDescent="0.15">
      <c r="CC154" s="18"/>
      <c r="CD154" s="18"/>
      <c r="CE154" s="18"/>
    </row>
    <row r="155" spans="81:83" x14ac:dyDescent="0.15">
      <c r="CC155" s="18"/>
      <c r="CD155" s="18"/>
      <c r="CE155" s="18"/>
    </row>
    <row r="156" spans="81:83" x14ac:dyDescent="0.15">
      <c r="CC156" s="18"/>
      <c r="CD156" s="18"/>
      <c r="CE156" s="18"/>
    </row>
    <row r="157" spans="81:83" x14ac:dyDescent="0.15">
      <c r="CC157" s="18"/>
      <c r="CD157" s="18"/>
      <c r="CE157" s="18"/>
    </row>
    <row r="158" spans="81:83" x14ac:dyDescent="0.15">
      <c r="CC158" s="18"/>
      <c r="CD158" s="18"/>
      <c r="CE158" s="18"/>
    </row>
    <row r="159" spans="81:83" x14ac:dyDescent="0.15">
      <c r="CC159" s="18"/>
      <c r="CD159" s="18"/>
      <c r="CE159" s="18"/>
    </row>
    <row r="160" spans="81:83" x14ac:dyDescent="0.15">
      <c r="CC160" s="18"/>
      <c r="CD160" s="18"/>
      <c r="CE160" s="18"/>
    </row>
    <row r="161" spans="5:83" x14ac:dyDescent="0.15">
      <c r="CC161" s="18"/>
      <c r="CD161" s="18"/>
      <c r="CE161" s="18"/>
    </row>
    <row r="162" spans="5:83" x14ac:dyDescent="0.15">
      <c r="CC162" s="18"/>
      <c r="CD162" s="18"/>
      <c r="CE162" s="18"/>
    </row>
    <row r="163" spans="5:83" x14ac:dyDescent="0.15">
      <c r="CC163" s="18"/>
      <c r="CD163" s="18"/>
      <c r="CE163" s="18"/>
    </row>
    <row r="164" spans="5:83" x14ac:dyDescent="0.15">
      <c r="CC164" s="18"/>
      <c r="CD164" s="18"/>
      <c r="CE164" s="18"/>
    </row>
    <row r="165" spans="5:83" x14ac:dyDescent="0.15">
      <c r="CC165" s="18"/>
      <c r="CD165" s="18"/>
      <c r="CE165" s="18"/>
    </row>
    <row r="166" spans="5:83" x14ac:dyDescent="0.15">
      <c r="CC166" s="18"/>
      <c r="CD166" s="18"/>
      <c r="CE166" s="18"/>
    </row>
    <row r="167" spans="5:83" x14ac:dyDescent="0.15">
      <c r="CC167" s="18"/>
      <c r="CD167" s="18"/>
      <c r="CE167" s="18"/>
    </row>
    <row r="168" spans="5:83" x14ac:dyDescent="0.15">
      <c r="CC168" s="18"/>
      <c r="CD168" s="18"/>
      <c r="CE168" s="18"/>
    </row>
    <row r="169" spans="5:83" x14ac:dyDescent="0.15">
      <c r="CC169" s="18"/>
      <c r="CD169" s="18"/>
      <c r="CE169" s="18"/>
    </row>
    <row r="170" spans="5:83" x14ac:dyDescent="0.15">
      <c r="CC170" s="18"/>
      <c r="CD170" s="18"/>
      <c r="CE170" s="18"/>
    </row>
    <row r="171" spans="5:83" x14ac:dyDescent="0.15">
      <c r="CC171" s="18"/>
      <c r="CD171" s="18"/>
      <c r="CE171" s="18"/>
    </row>
    <row r="172" spans="5:83" x14ac:dyDescent="0.15">
      <c r="CC172" s="18"/>
      <c r="CD172" s="18"/>
      <c r="CE172" s="18"/>
    </row>
    <row r="173" spans="5:83" x14ac:dyDescent="0.15">
      <c r="CC173" s="18"/>
      <c r="CD173" s="18"/>
      <c r="CE173" s="18"/>
    </row>
    <row r="174" spans="5:83" x14ac:dyDescent="0.15">
      <c r="CC174" s="18"/>
      <c r="CD174" s="18"/>
      <c r="CE174" s="18"/>
    </row>
    <row r="175" spans="5:83" x14ac:dyDescent="0.15">
      <c r="E175" t="s">
        <v>117</v>
      </c>
      <c r="CC175" s="18"/>
      <c r="CD175" s="18"/>
      <c r="CE175" s="18"/>
    </row>
    <row r="176" spans="5:83" x14ac:dyDescent="0.15">
      <c r="CC176" s="18"/>
      <c r="CD176" s="18"/>
      <c r="CE176" s="18"/>
    </row>
    <row r="177" spans="1:83" x14ac:dyDescent="0.15">
      <c r="A177" t="s">
        <v>49</v>
      </c>
      <c r="J177" t="s">
        <v>70</v>
      </c>
      <c r="CC177" s="18"/>
      <c r="CD177" s="18"/>
      <c r="CE177" s="18"/>
    </row>
    <row r="178" spans="1:83" ht="18.75" x14ac:dyDescent="0.35">
      <c r="A178" s="8" t="s">
        <v>50</v>
      </c>
      <c r="B178" s="9">
        <f>10^-3</f>
        <v>1E-3</v>
      </c>
      <c r="E178" s="253" t="s">
        <v>67</v>
      </c>
      <c r="F178" s="253"/>
      <c r="G178" s="253"/>
      <c r="J178" s="10" t="s">
        <v>72</v>
      </c>
      <c r="K178" s="7">
        <f>(1/(2*PI()*fllc*kHz*Re_fl*Qe_selected))/picoF</f>
        <v>29260.944066966076</v>
      </c>
      <c r="L178" s="7"/>
      <c r="M178" s="10" t="s">
        <v>71</v>
      </c>
      <c r="CC178" s="18"/>
      <c r="CD178" s="18"/>
      <c r="CE178" s="18"/>
    </row>
    <row r="179" spans="1:83" ht="18.75" x14ac:dyDescent="0.35">
      <c r="A179" s="8" t="s">
        <v>51</v>
      </c>
      <c r="B179" s="9">
        <f>(10^-6)</f>
        <v>9.9999999999999995E-7</v>
      </c>
      <c r="E179" s="253" t="s">
        <v>68</v>
      </c>
      <c r="F179" s="253"/>
      <c r="G179" s="253"/>
      <c r="J179" s="10" t="s">
        <v>121</v>
      </c>
      <c r="K179" s="10">
        <f>(IF(Cr_initial&lt;10000,K180*10^INT(LOG(Cr_initial)),K181*10^INT(LOG(Cr_initial))))*10^-6</f>
        <v>2.7E-2</v>
      </c>
      <c r="L179" s="10"/>
      <c r="M179" s="10" t="str">
        <f>IF(Cr_initial&lt;10000,"pF","uF")</f>
        <v>uF</v>
      </c>
      <c r="CC179" s="18"/>
      <c r="CD179" s="18"/>
      <c r="CE179" s="18"/>
    </row>
    <row r="180" spans="1:83" ht="14.25" x14ac:dyDescent="0.2">
      <c r="A180" s="8" t="s">
        <v>52</v>
      </c>
      <c r="B180" s="9">
        <f>10^3</f>
        <v>1000</v>
      </c>
      <c r="E180" s="10">
        <v>1</v>
      </c>
      <c r="F180" s="10">
        <v>1.2</v>
      </c>
      <c r="G180" s="10"/>
      <c r="J180" s="10"/>
      <c r="K180" s="10">
        <f>IF((10^(LOG(Cr_initial)-INT(LOG(Cr_initial))))-VLOOKUP((10^(LOG(Cr_initial)-INT(LOG(Cr_initial)))),C_s1:C_f1,1)&lt;VLOOKUP((10^(LOG(Cr_initial)-INT(LOG(Cr_initial)))),C_s1:C_f1,2)-(10^(LOG(Cr_initial)-INT(LOG(Cr_initial)))),VLOOKUP((10^(LOG(Cr_initial)-INT(LOG(Cr_initial)))),C_s1:C_f1,1),VLOOKUP((10^(LOG(Cr_initial)-INT(LOG(Cr_initial)))),C_s1:C_f1,2))</f>
        <v>2.7</v>
      </c>
      <c r="L180" s="10"/>
      <c r="M180" s="10"/>
      <c r="CC180" s="18"/>
      <c r="CD180" s="18"/>
      <c r="CE180" s="18"/>
    </row>
    <row r="181" spans="1:83" ht="14.25" x14ac:dyDescent="0.2">
      <c r="A181" s="8" t="s">
        <v>53</v>
      </c>
      <c r="B181" s="9">
        <f>10^-3</f>
        <v>1E-3</v>
      </c>
      <c r="E181" s="10">
        <v>1.2</v>
      </c>
      <c r="F181" s="10">
        <v>1.5</v>
      </c>
      <c r="G181" s="10"/>
      <c r="J181" s="10"/>
      <c r="K181" s="10">
        <f>IF((10^(LOG(Cr_initial)-INT(LOG(Cr_initial))))-VLOOKUP((10^(LOG(Cr_initial)-INT(LOG(Cr_initial)))),C_s2:C_f2,1)&lt;VLOOKUP((10^(LOG(Cr_initial)-INT(LOG(Cr_initial)))),C_s2:C_f2,2)-(10^(LOG(Cr_initial)-INT(LOG(Cr_initial)))),VLOOKUP((10^(LOG(Cr_initial)-INT(LOG(Cr_initial)))),C_s2:C_f2,1),VLOOKUP((10^(LOG(Cr_initial)-INT(LOG(Cr_initial)))),C_s2:C_f2,2))</f>
        <v>2.7</v>
      </c>
      <c r="L181" s="10"/>
      <c r="M181" s="10"/>
      <c r="CC181" s="18"/>
      <c r="CD181" s="18"/>
      <c r="CE181" s="18"/>
    </row>
    <row r="182" spans="1:83" ht="14.25" x14ac:dyDescent="0.2">
      <c r="A182" s="8" t="s">
        <v>54</v>
      </c>
      <c r="B182" s="9">
        <f>10^-3</f>
        <v>1E-3</v>
      </c>
      <c r="E182" s="10">
        <v>1.5</v>
      </c>
      <c r="F182" s="10">
        <v>1.8</v>
      </c>
      <c r="G182" s="10"/>
      <c r="CC182" s="18"/>
      <c r="CD182" s="18"/>
      <c r="CE182" s="18"/>
    </row>
    <row r="183" spans="1:83" ht="14.25" x14ac:dyDescent="0.2">
      <c r="A183" s="8" t="s">
        <v>55</v>
      </c>
      <c r="B183" s="9">
        <f>10^-3</f>
        <v>1E-3</v>
      </c>
      <c r="E183" s="10">
        <v>1.8</v>
      </c>
      <c r="F183" s="10">
        <v>2.2000000000000002</v>
      </c>
      <c r="G183" s="10"/>
      <c r="CC183" s="18"/>
      <c r="CD183" s="18"/>
      <c r="CE183" s="18"/>
    </row>
    <row r="184" spans="1:83" ht="14.25" x14ac:dyDescent="0.2">
      <c r="A184" s="8" t="s">
        <v>56</v>
      </c>
      <c r="B184" s="9">
        <f>10^-6</f>
        <v>9.9999999999999995E-7</v>
      </c>
      <c r="E184" s="10">
        <v>2.2000000000000002</v>
      </c>
      <c r="F184" s="10">
        <v>2.7</v>
      </c>
      <c r="G184" s="10"/>
      <c r="J184" t="s">
        <v>109</v>
      </c>
      <c r="CC184" s="18"/>
      <c r="CD184" s="18"/>
      <c r="CE184" s="18"/>
    </row>
    <row r="185" spans="1:83" ht="14.25" x14ac:dyDescent="0.2">
      <c r="A185" s="8" t="s">
        <v>57</v>
      </c>
      <c r="B185" s="9">
        <f>10^-6</f>
        <v>9.9999999999999995E-7</v>
      </c>
      <c r="E185" s="10">
        <v>2.7</v>
      </c>
      <c r="F185" s="10">
        <v>3.3</v>
      </c>
      <c r="G185" s="10"/>
      <c r="J185" t="s">
        <v>110</v>
      </c>
      <c r="K185" t="e">
        <f>1/(2*PI()*10*kHz*Rcs_LLC*mOhm)/picoF</f>
        <v>#REF!</v>
      </c>
      <c r="M185" s="10" t="s">
        <v>71</v>
      </c>
      <c r="CC185" s="18"/>
      <c r="CD185" s="18"/>
      <c r="CE185" s="18"/>
    </row>
    <row r="186" spans="1:83" ht="14.25" x14ac:dyDescent="0.2">
      <c r="A186" s="8" t="s">
        <v>58</v>
      </c>
      <c r="B186" s="9">
        <f>10^-9</f>
        <v>1.0000000000000001E-9</v>
      </c>
      <c r="E186" s="10">
        <v>3.3</v>
      </c>
      <c r="F186" s="10">
        <v>3.9</v>
      </c>
      <c r="G186" s="10"/>
      <c r="J186" t="s">
        <v>111</v>
      </c>
      <c r="K186" t="e">
        <f>(IF(C_1initial&lt;10000,K187*10^INT(LOG(C_1initial)),K188*10^INT(LOG(C_1initial))))*10^-6</f>
        <v>#REF!</v>
      </c>
      <c r="M186" s="10" t="e">
        <f>IF(C_1initial&lt;10000,"pF","uF")</f>
        <v>#REF!</v>
      </c>
      <c r="CC186" s="18"/>
      <c r="CD186" s="18"/>
      <c r="CE186" s="18"/>
    </row>
    <row r="187" spans="1:83" ht="14.25" x14ac:dyDescent="0.2">
      <c r="A187" s="8" t="s">
        <v>59</v>
      </c>
      <c r="B187" s="9">
        <f>10^-3</f>
        <v>1E-3</v>
      </c>
      <c r="E187" s="10">
        <v>3.9</v>
      </c>
      <c r="F187" s="10">
        <v>4.7</v>
      </c>
      <c r="G187" s="10"/>
      <c r="K187" t="e">
        <f>IF((10^(LOG(C_1initial)-INT(LOG(C_1initial))))-VLOOKUP((10^(LOG(C_1initial)-INT(LOG(C_1initial)))),C_s1:C_f1,1)&lt;VLOOKUP((10^(LOG(C_1initial)-INT(LOG(C_1initial)))),C_s1:C_f1,2)-(10^(LOG(C_1initial)-INT(LOG(C_1initial)))),VLOOKUP((10^(LOG(C_1initial)-INT(LOG(C_1initial)))),C_s1:C_f1,1),VLOOKUP((10^(LOG(C_1initial)-INT(LOG(C_1initial)))),C_s1:C_f1,2))</f>
        <v>#REF!</v>
      </c>
      <c r="CC187" s="18"/>
      <c r="CD187" s="18"/>
      <c r="CE187" s="18"/>
    </row>
    <row r="188" spans="1:83" ht="14.25" x14ac:dyDescent="0.2">
      <c r="A188" s="8" t="s">
        <v>60</v>
      </c>
      <c r="B188" s="9">
        <f>10^-12</f>
        <v>9.9999999999999998E-13</v>
      </c>
      <c r="E188" s="10">
        <v>4.7</v>
      </c>
      <c r="F188" s="10">
        <v>5.6</v>
      </c>
      <c r="G188" s="10"/>
      <c r="K188" t="e">
        <f>IF((10^(LOG(C_1initial)-INT(LOG(C_1initial))))-VLOOKUP((10^(LOG(C_1initial)-INT(LOG(C_1initial)))),C_s2:C_f2,1)&lt;VLOOKUP((10^(LOG(C_1initial)-INT(LOG(C_1initial)))),C_s2:C_f2,2)-(10^(LOG(C_1initial)-INT(LOG(C_1initial)))),VLOOKUP((10^(LOG(C_1initial)-INT(LOG(C_1initial)))),C_s2:C_f2,1),VLOOKUP((10^(LOG(C_1initial)-INT(LOG(C_1initial)))),C_s2:C_f2,2))</f>
        <v>#REF!</v>
      </c>
      <c r="CC188" s="18"/>
      <c r="CD188" s="18"/>
      <c r="CE188" s="18"/>
    </row>
    <row r="189" spans="1:83" ht="14.25" x14ac:dyDescent="0.2">
      <c r="A189" s="8" t="s">
        <v>61</v>
      </c>
      <c r="B189" s="9">
        <f>10^6</f>
        <v>1000000</v>
      </c>
      <c r="E189" s="10">
        <v>5.6</v>
      </c>
      <c r="F189" s="10">
        <v>6.8</v>
      </c>
      <c r="G189" s="10"/>
      <c r="CC189" s="18"/>
      <c r="CD189" s="18"/>
      <c r="CE189" s="18"/>
    </row>
    <row r="190" spans="1:83" ht="14.25" x14ac:dyDescent="0.2">
      <c r="A190" s="8" t="s">
        <v>62</v>
      </c>
      <c r="B190" s="9">
        <f>10^-6</f>
        <v>9.9999999999999995E-7</v>
      </c>
      <c r="E190" s="10">
        <v>6.8</v>
      </c>
      <c r="F190" s="10">
        <v>8.1999999999999993</v>
      </c>
      <c r="G190" s="10"/>
      <c r="CC190" s="18"/>
      <c r="CD190" s="18"/>
      <c r="CE190" s="18"/>
    </row>
    <row r="191" spans="1:83" ht="15" x14ac:dyDescent="0.25">
      <c r="A191" s="8" t="s">
        <v>63</v>
      </c>
      <c r="B191" s="9">
        <f>10^3</f>
        <v>1000</v>
      </c>
      <c r="E191" s="10">
        <v>8.1999999999999993</v>
      </c>
      <c r="F191" s="10">
        <v>10</v>
      </c>
      <c r="G191" s="10"/>
      <c r="J191" t="s">
        <v>118</v>
      </c>
      <c r="CC191" s="18"/>
      <c r="CD191" s="18"/>
      <c r="CE191" s="18"/>
    </row>
    <row r="192" spans="1:83" ht="14.25" x14ac:dyDescent="0.2">
      <c r="A192" s="8" t="s">
        <v>64</v>
      </c>
      <c r="B192" s="9">
        <f>10^-9</f>
        <v>1.0000000000000001E-9</v>
      </c>
      <c r="E192" s="253" t="s">
        <v>69</v>
      </c>
      <c r="F192" s="253"/>
      <c r="G192" s="253"/>
      <c r="J192" t="s">
        <v>119</v>
      </c>
      <c r="K192" t="e">
        <f>Ihfr_pfc/(8*f_pfc*kHz*deltaVin)/picoF</f>
        <v>#REF!</v>
      </c>
      <c r="M192" t="s">
        <v>71</v>
      </c>
      <c r="CC192" s="18"/>
      <c r="CD192" s="18"/>
      <c r="CE192" s="18"/>
    </row>
    <row r="193" spans="1:83" ht="14.25" x14ac:dyDescent="0.2">
      <c r="A193" s="8" t="s">
        <v>65</v>
      </c>
      <c r="B193" s="9">
        <f>10^-9</f>
        <v>1.0000000000000001E-9</v>
      </c>
      <c r="E193" s="10">
        <v>1</v>
      </c>
      <c r="F193" s="10">
        <v>1.5</v>
      </c>
      <c r="G193" s="10"/>
      <c r="J193" t="s">
        <v>120</v>
      </c>
      <c r="K193" t="e">
        <f>(IF(Cin_initial&lt;10000,K194*10^INT(LOG(Cin_initial)),K195*10^INT(LOG(Cin_initial))))*10^-6</f>
        <v>#REF!</v>
      </c>
      <c r="M193" t="e">
        <f>IF(Cin_initial&lt;10000,"pF","uF")</f>
        <v>#REF!</v>
      </c>
      <c r="CC193" s="18"/>
      <c r="CD193" s="18"/>
      <c r="CE193" s="18"/>
    </row>
    <row r="194" spans="1:83" ht="14.25" x14ac:dyDescent="0.2">
      <c r="A194" s="8" t="s">
        <v>66</v>
      </c>
      <c r="B194" s="9">
        <f>10^-6</f>
        <v>9.9999999999999995E-7</v>
      </c>
      <c r="E194" s="10">
        <v>1.5</v>
      </c>
      <c r="F194" s="10">
        <v>2.2000000000000002</v>
      </c>
      <c r="G194" s="10"/>
      <c r="K194"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4" s="18"/>
      <c r="CD194" s="18"/>
      <c r="CE194" s="18"/>
    </row>
    <row r="195" spans="1:83" ht="14.25" x14ac:dyDescent="0.2">
      <c r="E195" s="10">
        <v>2.2000000000000002</v>
      </c>
      <c r="F195" s="10">
        <v>2.7</v>
      </c>
      <c r="G195" s="10"/>
      <c r="K195"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5" s="18"/>
      <c r="CD195" s="18"/>
      <c r="CE195" s="18"/>
    </row>
    <row r="196" spans="1:83" ht="14.25" x14ac:dyDescent="0.2">
      <c r="E196" s="10">
        <v>2.7</v>
      </c>
      <c r="F196" s="10">
        <v>3.3</v>
      </c>
      <c r="G196" s="10"/>
      <c r="CC196" s="18"/>
      <c r="CD196" s="18"/>
      <c r="CE196" s="18"/>
    </row>
    <row r="197" spans="1:83" ht="14.25" x14ac:dyDescent="0.2">
      <c r="E197" s="10">
        <v>3.3</v>
      </c>
      <c r="F197" s="10">
        <v>4.7</v>
      </c>
      <c r="G197" s="10"/>
      <c r="CC197" s="18"/>
      <c r="CD197" s="18"/>
      <c r="CE197" s="18"/>
    </row>
    <row r="198" spans="1:83" ht="14.25" x14ac:dyDescent="0.2">
      <c r="E198" s="10">
        <v>4.7</v>
      </c>
      <c r="F198" s="10">
        <v>6.8</v>
      </c>
      <c r="G198" s="10"/>
      <c r="J198" t="s">
        <v>122</v>
      </c>
      <c r="CC198" s="18"/>
      <c r="CD198" s="18"/>
      <c r="CE198" s="18"/>
    </row>
    <row r="199" spans="1:83" ht="14.25" x14ac:dyDescent="0.2">
      <c r="E199" s="10">
        <v>6.8</v>
      </c>
      <c r="F199" s="10">
        <v>10</v>
      </c>
      <c r="J199" t="s">
        <v>123</v>
      </c>
      <c r="K199" t="e">
        <f>((2*Pout*tH*ms)/(Vblk_min^2-Vblk_hu^2))/picoF</f>
        <v>#REF!</v>
      </c>
      <c r="M199" t="s">
        <v>71</v>
      </c>
      <c r="CC199" s="18"/>
      <c r="CD199" s="18"/>
      <c r="CE199" s="18"/>
    </row>
    <row r="200" spans="1:83" x14ac:dyDescent="0.15">
      <c r="J200" t="s">
        <v>124</v>
      </c>
      <c r="K200" t="e">
        <f>(IF(Cblk_initial&lt;10000,K201*10^INT(LOG(Cblk_initial)),K202*10^INT(LOG(Cblk_initial))))*10^-6</f>
        <v>#REF!</v>
      </c>
      <c r="M200" t="e">
        <f>IF(Cblk_initial&lt;10000,"pF","uF")</f>
        <v>#REF!</v>
      </c>
      <c r="CC200" s="18"/>
      <c r="CD200" s="18"/>
      <c r="CE200" s="18"/>
    </row>
    <row r="201" spans="1:83" x14ac:dyDescent="0.15">
      <c r="K201"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1" s="18"/>
      <c r="CD201" s="18"/>
      <c r="CE201" s="18"/>
    </row>
    <row r="202" spans="1:83" x14ac:dyDescent="0.15">
      <c r="K202"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2" s="18"/>
      <c r="CD202" s="18"/>
      <c r="CE202" s="18"/>
    </row>
    <row r="203" spans="1:83" x14ac:dyDescent="0.15">
      <c r="CC203" s="18"/>
      <c r="CD203" s="18"/>
      <c r="CE203" s="18"/>
    </row>
    <row r="204" spans="1:83" x14ac:dyDescent="0.15">
      <c r="CC204" s="18"/>
      <c r="CD204" s="18"/>
      <c r="CE204" s="18"/>
    </row>
    <row r="205" spans="1:83" x14ac:dyDescent="0.15">
      <c r="A205" t="s">
        <v>325</v>
      </c>
      <c r="CC205" s="18"/>
      <c r="CD205" s="18"/>
      <c r="CE205" s="18"/>
    </row>
    <row r="206" spans="1:83" x14ac:dyDescent="0.15">
      <c r="A206" t="s">
        <v>429</v>
      </c>
      <c r="CC206" s="18"/>
      <c r="CD206" s="18"/>
      <c r="CE206" s="18"/>
    </row>
    <row r="207" spans="1:83" x14ac:dyDescent="0.15">
      <c r="A207" t="s">
        <v>394</v>
      </c>
      <c r="CC207" s="18"/>
      <c r="CD207" s="18"/>
      <c r="CE207" s="18"/>
    </row>
    <row r="208" spans="1:83" x14ac:dyDescent="0.15">
      <c r="A208" t="s">
        <v>336</v>
      </c>
      <c r="CC208" s="18"/>
      <c r="CD208" s="18"/>
      <c r="CE208" s="18"/>
    </row>
    <row r="209" spans="1:83" x14ac:dyDescent="0.15">
      <c r="CC209" s="18"/>
      <c r="CD209" s="18"/>
      <c r="CE209" s="18"/>
    </row>
    <row r="210" spans="1:83" x14ac:dyDescent="0.15">
      <c r="CC210" s="18"/>
      <c r="CD210" s="18"/>
      <c r="CE210" s="18"/>
    </row>
    <row r="211" spans="1:83" x14ac:dyDescent="0.15">
      <c r="CC211" s="18"/>
      <c r="CD211" s="18"/>
      <c r="CE211" s="18"/>
    </row>
    <row r="212" spans="1:83" x14ac:dyDescent="0.15">
      <c r="CC212" s="18"/>
      <c r="CD212" s="18"/>
      <c r="CE212" s="18"/>
    </row>
    <row r="213" spans="1:83" x14ac:dyDescent="0.15">
      <c r="CC213" s="18"/>
      <c r="CD213" s="18"/>
      <c r="CE213" s="18"/>
    </row>
    <row r="214" spans="1:83" x14ac:dyDescent="0.15">
      <c r="CC214" s="18"/>
      <c r="CD214" s="18"/>
      <c r="CE214" s="18"/>
    </row>
    <row r="215" spans="1:83" x14ac:dyDescent="0.15">
      <c r="CC215" s="18"/>
      <c r="CD215" s="18"/>
      <c r="CE215" s="18"/>
    </row>
    <row r="216" spans="1:83" x14ac:dyDescent="0.15">
      <c r="CC216" s="18"/>
      <c r="CD216" s="18"/>
      <c r="CE216" s="18"/>
    </row>
    <row r="217" spans="1:83" x14ac:dyDescent="0.15">
      <c r="CC217" s="18"/>
      <c r="CD217" s="18"/>
      <c r="CE217" s="18"/>
    </row>
    <row r="218" spans="1:83" x14ac:dyDescent="0.15">
      <c r="A218" t="s">
        <v>342</v>
      </c>
      <c r="B218" s="254" t="s">
        <v>154</v>
      </c>
      <c r="C218" s="254"/>
      <c r="D218" s="254"/>
      <c r="CC218" s="18"/>
      <c r="CD218" s="18"/>
      <c r="CE218" s="18"/>
    </row>
    <row r="219" spans="1:83" x14ac:dyDescent="0.15">
      <c r="A219" t="s">
        <v>344</v>
      </c>
      <c r="B219" s="55">
        <v>24730</v>
      </c>
      <c r="C219" s="168">
        <v>28000</v>
      </c>
      <c r="D219" s="89">
        <f>(B219+C219)/2000</f>
        <v>26.364999999999998</v>
      </c>
      <c r="CC219" s="18"/>
      <c r="CD219" s="18"/>
      <c r="CE219" s="18"/>
    </row>
    <row r="220" spans="1:83" x14ac:dyDescent="0.15">
      <c r="A220" t="s">
        <v>345</v>
      </c>
      <c r="B220" s="55">
        <v>17125</v>
      </c>
      <c r="C220" s="55">
        <v>19976</v>
      </c>
      <c r="D220" s="89">
        <f t="shared" ref="D220:D226" si="49">(B220+C220)/2000</f>
        <v>18.5505</v>
      </c>
      <c r="CC220" s="18"/>
      <c r="CD220" s="18"/>
      <c r="CE220" s="18"/>
    </row>
    <row r="221" spans="1:83" x14ac:dyDescent="0.15">
      <c r="A221" t="s">
        <v>346</v>
      </c>
      <c r="B221" s="55">
        <v>12562</v>
      </c>
      <c r="C221" s="55">
        <v>13624</v>
      </c>
      <c r="D221" s="89">
        <f t="shared" si="49"/>
        <v>13.093</v>
      </c>
      <c r="CC221" s="18"/>
      <c r="CD221" s="18"/>
      <c r="CE221" s="18"/>
    </row>
    <row r="222" spans="1:83" x14ac:dyDescent="0.15">
      <c r="A222" t="s">
        <v>347</v>
      </c>
      <c r="B222" s="55">
        <v>9018</v>
      </c>
      <c r="C222" s="55">
        <v>9813</v>
      </c>
      <c r="D222" s="89">
        <f t="shared" si="49"/>
        <v>9.4154999999999998</v>
      </c>
      <c r="CC222" s="18"/>
      <c r="CD222" s="18"/>
      <c r="CE222" s="18"/>
    </row>
    <row r="223" spans="1:83" x14ac:dyDescent="0.15">
      <c r="A223" t="s">
        <v>348</v>
      </c>
      <c r="B223" s="55">
        <v>6478</v>
      </c>
      <c r="C223" s="55">
        <v>6849</v>
      </c>
      <c r="D223" s="89">
        <f t="shared" si="49"/>
        <v>6.6635</v>
      </c>
      <c r="CC223" s="18"/>
      <c r="CD223" s="18"/>
      <c r="CE223" s="18"/>
    </row>
    <row r="224" spans="1:83" x14ac:dyDescent="0.15">
      <c r="A224" t="s">
        <v>349</v>
      </c>
      <c r="B224" s="55">
        <v>4450</v>
      </c>
      <c r="C224" s="55">
        <v>4732</v>
      </c>
      <c r="D224" s="89">
        <f t="shared" si="49"/>
        <v>4.5910000000000002</v>
      </c>
      <c r="CC224" s="18"/>
      <c r="CD224" s="18"/>
      <c r="CE224" s="18"/>
    </row>
    <row r="225" spans="1:83" x14ac:dyDescent="0.15">
      <c r="A225" t="s">
        <v>350</v>
      </c>
      <c r="B225" s="55">
        <v>2422</v>
      </c>
      <c r="C225" s="55">
        <v>3038</v>
      </c>
      <c r="D225" s="89">
        <f t="shared" si="49"/>
        <v>2.73</v>
      </c>
      <c r="CC225" s="18"/>
      <c r="CD225" s="18"/>
      <c r="CE225" s="18"/>
    </row>
    <row r="226" spans="1:83" x14ac:dyDescent="0.15">
      <c r="A226" t="s">
        <v>351</v>
      </c>
      <c r="B226" s="55">
        <v>0</v>
      </c>
      <c r="C226" s="55">
        <v>1344</v>
      </c>
      <c r="D226" s="89">
        <f t="shared" si="49"/>
        <v>0.67200000000000004</v>
      </c>
      <c r="CC226" s="18"/>
      <c r="CD226" s="18"/>
      <c r="CE226" s="18"/>
    </row>
    <row r="227" spans="1:83" x14ac:dyDescent="0.15">
      <c r="CC227" s="18"/>
      <c r="CD227" s="18"/>
      <c r="CE227" s="18"/>
    </row>
    <row r="228" spans="1:83" x14ac:dyDescent="0.15">
      <c r="CC228" s="18"/>
      <c r="CD228" s="18"/>
      <c r="CE228" s="18"/>
    </row>
    <row r="229" spans="1:83" x14ac:dyDescent="0.15">
      <c r="CC229" s="18"/>
      <c r="CD229" s="18"/>
      <c r="CE229" s="18"/>
    </row>
    <row r="230" spans="1:83" x14ac:dyDescent="0.15">
      <c r="CC230" s="18"/>
      <c r="CD230" s="18"/>
      <c r="CE230" s="18"/>
    </row>
    <row r="231" spans="1:83" x14ac:dyDescent="0.15">
      <c r="CC231" s="18"/>
      <c r="CD231" s="18"/>
      <c r="CE231" s="18"/>
    </row>
    <row r="232" spans="1:83" x14ac:dyDescent="0.15">
      <c r="CC232" s="18"/>
      <c r="CD232" s="18"/>
      <c r="CE232" s="18"/>
    </row>
    <row r="233" spans="1:83" x14ac:dyDescent="0.15">
      <c r="CC233" s="18"/>
      <c r="CD233" s="18"/>
      <c r="CE233" s="18"/>
    </row>
    <row r="234" spans="1:83" x14ac:dyDescent="0.15">
      <c r="CC234" s="18"/>
      <c r="CD234" s="18"/>
      <c r="CE234" s="18"/>
    </row>
    <row r="235" spans="1:83" x14ac:dyDescent="0.15">
      <c r="CC235" s="18"/>
      <c r="CD235" s="18"/>
      <c r="CE235" s="18"/>
    </row>
    <row r="236" spans="1:83" x14ac:dyDescent="0.15">
      <c r="CC236" s="18"/>
      <c r="CD236" s="18"/>
      <c r="CE236" s="18"/>
    </row>
    <row r="237" spans="1:83" x14ac:dyDescent="0.15">
      <c r="CC237" s="18"/>
      <c r="CD237" s="18"/>
      <c r="CE237" s="18"/>
    </row>
    <row r="238" spans="1:83" x14ac:dyDescent="0.15">
      <c r="CC238" s="18"/>
      <c r="CD238" s="18"/>
      <c r="CE238" s="18"/>
    </row>
    <row r="239" spans="1:83" x14ac:dyDescent="0.15">
      <c r="CC239" s="18"/>
      <c r="CD239" s="18"/>
      <c r="CE239" s="18"/>
    </row>
    <row r="240" spans="1:83" x14ac:dyDescent="0.15">
      <c r="A240" s="124" t="s">
        <v>422</v>
      </c>
      <c r="B240" t="s">
        <v>519</v>
      </c>
      <c r="CC240" s="18"/>
      <c r="CD240" s="18"/>
      <c r="CE240" s="18"/>
    </row>
    <row r="241" spans="1:83" x14ac:dyDescent="0.15">
      <c r="CC241" s="18"/>
      <c r="CD241" s="18"/>
      <c r="CE241" s="18"/>
    </row>
    <row r="242" spans="1:83" x14ac:dyDescent="0.15">
      <c r="A242" s="140" t="s">
        <v>401</v>
      </c>
      <c r="B242" s="120" t="e">
        <f>('DESIGN INPUTS AND CALCULATIONS'!#REF!*PI()/('DESIGN INPUTS AND CALCULATIONS'!C29))*'DESIGN INPUTS AND CALCULATIONS'!C27/(2*SQRT(2)*'DESIGN INPUTS AND CALCULATIONS'!C41)</f>
        <v>#REF!</v>
      </c>
      <c r="CC242" s="18"/>
      <c r="CD242" s="18"/>
      <c r="CE242" s="18"/>
    </row>
    <row r="243" spans="1:83" x14ac:dyDescent="0.15">
      <c r="A243" s="140" t="s">
        <v>402</v>
      </c>
      <c r="B243" t="e">
        <f>(2*SQRT(2)/PI())*'DESIGN INPUTS AND CALCULATIONS'!C25*'DESIGN INPUTS AND CALCULATIONS'!C41/(2*PI()*'DESIGN INPUTS AND CALCULATIONS'!C96*0.000001*'DESIGN INPUTS AND CALCULATIONS'!#REF!*1000)</f>
        <v>#REF!</v>
      </c>
      <c r="CC243" s="18"/>
      <c r="CD243" s="18"/>
      <c r="CE243" s="18"/>
    </row>
    <row r="244" spans="1:83" x14ac:dyDescent="0.15">
      <c r="A244" s="140" t="s">
        <v>403</v>
      </c>
      <c r="B244" t="e">
        <f>SQRT(B242*B242+B243*B243)</f>
        <v>#REF!</v>
      </c>
      <c r="CC244" s="18"/>
      <c r="CD244" s="18"/>
      <c r="CE244" s="18"/>
    </row>
    <row r="245" spans="1:83" x14ac:dyDescent="0.15">
      <c r="A245" s="140" t="s">
        <v>404</v>
      </c>
      <c r="B245" t="e">
        <f>B244/(2*PI()*'DESIGN INPUTS AND CALCULATIONS'!C91*0.000001*'DESIGN INPUTS AND CALCULATIONS'!#REF!*1000)</f>
        <v>#REF!</v>
      </c>
      <c r="CC245" s="18"/>
      <c r="CD245" s="18"/>
      <c r="CE245" s="18"/>
    </row>
    <row r="246" spans="1:83" x14ac:dyDescent="0.15">
      <c r="A246" s="140" t="s">
        <v>405</v>
      </c>
      <c r="B246" t="e">
        <f>'DESIGN INPUTS AND CALCULATIONS'!C32/2+SQRT(2)*B245</f>
        <v>#REF!</v>
      </c>
      <c r="CC246" s="18"/>
      <c r="CD246" s="18"/>
      <c r="CE246" s="18"/>
    </row>
    <row r="247" spans="1:83" x14ac:dyDescent="0.15">
      <c r="A247" s="140" t="s">
        <v>406</v>
      </c>
      <c r="B247" t="e">
        <f>'DESIGN INPUTS AND CALCULATIONS'!C32/2-SQRT(2)*B245</f>
        <v>#REF!</v>
      </c>
      <c r="CC247" s="18"/>
      <c r="CD247" s="18"/>
      <c r="CE247" s="18"/>
    </row>
    <row r="248" spans="1:83" x14ac:dyDescent="0.15">
      <c r="A248" s="140" t="s">
        <v>407</v>
      </c>
      <c r="B248" t="e">
        <f>B246-B247</f>
        <v>#REF!</v>
      </c>
      <c r="CC248" s="18"/>
      <c r="CD248" s="18"/>
      <c r="CE248" s="18"/>
    </row>
    <row r="249" spans="1:83" x14ac:dyDescent="0.15">
      <c r="A249" s="141" t="s">
        <v>421</v>
      </c>
      <c r="B249" t="e">
        <f>B248/'DESIGN INPUTS AND CALCULATIONS'!C170+(1/('DESIGN INPUTS AND CALCULATIONS'!C167*0.000000000001))*'DESIGN INPUTS AND CALCULATIONS'!C164*0.001/(2*'DESIGN INPUTS AND CALCULATIONS'!#REF!*1000)</f>
        <v>#REF!</v>
      </c>
      <c r="CC249" s="18"/>
      <c r="CD249" s="18"/>
      <c r="CE249" s="18"/>
    </row>
    <row r="250" spans="1:83" x14ac:dyDescent="0.15">
      <c r="CC250" s="18"/>
      <c r="CD250" s="18"/>
      <c r="CE250" s="18"/>
    </row>
    <row r="251" spans="1:83" x14ac:dyDescent="0.15">
      <c r="A251" s="124" t="s">
        <v>365</v>
      </c>
      <c r="B251" s="55" t="s">
        <v>341</v>
      </c>
      <c r="CC251" s="18"/>
      <c r="CD251" s="18"/>
      <c r="CE251" s="18"/>
    </row>
    <row r="252" spans="1:83" x14ac:dyDescent="0.15">
      <c r="A252" s="124" t="s">
        <v>419</v>
      </c>
      <c r="B252" s="55">
        <f>(26*B253/(19))*(1200+0.000776/('DESIGN INPUTS AND CALCULATIONS'!C200/1000000000))</f>
        <v>0.32249793920015979</v>
      </c>
      <c r="CC252" s="18"/>
      <c r="CD252" s="18"/>
      <c r="CE252" s="18"/>
    </row>
    <row r="253" spans="1:83" x14ac:dyDescent="0.15">
      <c r="A253" s="124" t="s">
        <v>370</v>
      </c>
      <c r="B253" s="169">
        <f>'DESIGN INPUTS AND CALCULATIONS'!C201/(98000)</f>
        <v>1.2244897959183673E-5</v>
      </c>
      <c r="CC253" s="18"/>
      <c r="CD253" s="18"/>
      <c r="CE253" s="18"/>
    </row>
    <row r="254" spans="1:83" ht="14.45" customHeight="1" x14ac:dyDescent="0.15">
      <c r="A254" s="124" t="s">
        <v>369</v>
      </c>
      <c r="B254" s="55">
        <f>3.5/(1-((B253/'DESIGN INPUTS AND CALCULATIONS'!C203)*(1200+(0.000776)/('DESIGN INPUTS AND CALCULATIONS'!C200/1000000000))))</f>
        <v>12.244452830188678</v>
      </c>
      <c r="CC254" s="18"/>
      <c r="CD254" s="18"/>
      <c r="CE254" s="18"/>
    </row>
    <row r="255" spans="1:83" x14ac:dyDescent="0.15">
      <c r="A255" s="124" t="s">
        <v>366</v>
      </c>
      <c r="B255" s="170">
        <f>(B254-3.5)/B253</f>
        <v>714130.31446540868</v>
      </c>
      <c r="CC255" s="18"/>
      <c r="CD255" s="18"/>
      <c r="CE255" s="18"/>
    </row>
    <row r="256" spans="1:83" x14ac:dyDescent="0.15">
      <c r="A256" s="124" t="s">
        <v>417</v>
      </c>
      <c r="B256" s="55">
        <f>B255*13/B254</f>
        <v>758195.91261451726</v>
      </c>
      <c r="CC256" s="18"/>
      <c r="CD256" s="18"/>
      <c r="CE256" s="18"/>
    </row>
    <row r="257" spans="1:83" x14ac:dyDescent="0.15">
      <c r="A257" s="124" t="s">
        <v>418</v>
      </c>
      <c r="B257" s="55">
        <f>B255*B256/(B256-B255)</f>
        <v>12287378.550261343</v>
      </c>
      <c r="CC257" s="18"/>
      <c r="CD257" s="18"/>
      <c r="CE257" s="18"/>
    </row>
    <row r="258" spans="1:83" x14ac:dyDescent="0.15">
      <c r="A258" s="124" t="s">
        <v>367</v>
      </c>
      <c r="B258" s="55">
        <f>'DESIGN INPUTS AND CALCULATIONS'!C206*1000</f>
        <v>750000</v>
      </c>
      <c r="CC258" s="18"/>
      <c r="CD258" s="18"/>
      <c r="CE258" s="18"/>
    </row>
    <row r="259" spans="1:83" x14ac:dyDescent="0.15">
      <c r="A259" s="124" t="s">
        <v>368</v>
      </c>
      <c r="B259" s="55">
        <f>'DESIGN INPUTS AND CALCULATIONS'!C207*1000</f>
        <v>10000000</v>
      </c>
      <c r="CC259" s="18"/>
      <c r="CD259" s="18"/>
      <c r="CE259" s="18"/>
    </row>
    <row r="260" spans="1:83" x14ac:dyDescent="0.15">
      <c r="A260" t="s">
        <v>366</v>
      </c>
      <c r="B260" s="55">
        <f>B258*B259/(B258+B259)</f>
        <v>697674.41860465112</v>
      </c>
      <c r="CC260" s="18"/>
      <c r="CD260" s="18"/>
      <c r="CE260" s="18"/>
    </row>
    <row r="261" spans="1:83" x14ac:dyDescent="0.15">
      <c r="A261" s="124" t="s">
        <v>369</v>
      </c>
      <c r="B261" s="55">
        <f>13*B259/(B258+B259)</f>
        <v>12.093023255813954</v>
      </c>
      <c r="CC261" s="18"/>
      <c r="CD261" s="18"/>
      <c r="CE261" s="18"/>
    </row>
    <row r="262" spans="1:83" x14ac:dyDescent="0.15">
      <c r="A262" s="124" t="s">
        <v>370</v>
      </c>
      <c r="B262" s="55">
        <f>(B261-3.5)/B260</f>
        <v>1.2316666666666668E-5</v>
      </c>
      <c r="CC262" s="18"/>
      <c r="CD262" s="18"/>
      <c r="CE262" s="18"/>
    </row>
    <row r="263" spans="1:83" x14ac:dyDescent="0.15">
      <c r="A263" s="124" t="s">
        <v>416</v>
      </c>
      <c r="B263" s="55">
        <f>(-0.000776)/(B260*'DESIGN INPUTS AND CALCULATIONS'!C200/1000000000)</f>
        <v>-2.586666666666667E-2</v>
      </c>
      <c r="CC263" s="18"/>
      <c r="CD263" s="18"/>
      <c r="CE263" s="18"/>
    </row>
    <row r="264" spans="1:83" x14ac:dyDescent="0.15">
      <c r="A264" s="124" t="s">
        <v>371</v>
      </c>
      <c r="B264" s="55">
        <f>(1200*13/B258)+B261*(1-EXP(B263))</f>
        <v>0.32959523256071316</v>
      </c>
      <c r="CC264" s="18"/>
      <c r="CD264" s="18"/>
      <c r="CE264" s="18"/>
    </row>
    <row r="265" spans="1:83" x14ac:dyDescent="0.15">
      <c r="A265" s="124" t="s">
        <v>372</v>
      </c>
      <c r="B265" s="55">
        <f>B262*100000</f>
        <v>1.2316666666666669</v>
      </c>
      <c r="CC265" s="18"/>
      <c r="CD265" s="18"/>
      <c r="CE265" s="18"/>
    </row>
    <row r="266" spans="1:83" x14ac:dyDescent="0.15">
      <c r="A266" s="124" t="s">
        <v>374</v>
      </c>
      <c r="B266" s="55">
        <f>B261+'DESIGN INPUTS AND CALCULATIONS'!C197*0.000001*'tables and calculations'!B260</f>
        <v>38.255813953488371</v>
      </c>
      <c r="CC266" s="18"/>
      <c r="CD266" s="18"/>
      <c r="CE266" s="18"/>
    </row>
    <row r="267" spans="1:83" x14ac:dyDescent="0.15">
      <c r="A267" s="124" t="s">
        <v>388</v>
      </c>
      <c r="B267" s="55">
        <v>0</v>
      </c>
      <c r="CC267" s="18"/>
      <c r="CD267" s="18"/>
      <c r="CE267" s="18"/>
    </row>
    <row r="268" spans="1:83" x14ac:dyDescent="0.15">
      <c r="CC268" s="18"/>
      <c r="CD268" s="18"/>
      <c r="CE268" s="18"/>
    </row>
    <row r="269" spans="1:83" x14ac:dyDescent="0.15">
      <c r="A269" s="124" t="s">
        <v>423</v>
      </c>
      <c r="CC269" s="18"/>
      <c r="CD269" s="18"/>
      <c r="CE269" s="18"/>
    </row>
    <row r="270" spans="1:83" x14ac:dyDescent="0.15">
      <c r="A270" s="124" t="s">
        <v>424</v>
      </c>
      <c r="B270" s="120" t="e">
        <f>'DESIGN INPUTS AND CALCULATIONS'!#REF!*1000</f>
        <v>#REF!</v>
      </c>
      <c r="CC270" s="18"/>
      <c r="CD270" s="18"/>
      <c r="CE270" s="18"/>
    </row>
    <row r="271" spans="1:83" x14ac:dyDescent="0.15">
      <c r="A271" s="124" t="s">
        <v>425</v>
      </c>
      <c r="B271" s="160">
        <f>'DESIGN INPUTS AND CALCULATIONS'!C164/1000</f>
        <v>2E-3</v>
      </c>
      <c r="CC271" s="18"/>
      <c r="CD271" s="18"/>
      <c r="CE271" s="18"/>
    </row>
    <row r="272" spans="1:83" x14ac:dyDescent="0.15">
      <c r="A272" s="124" t="s">
        <v>427</v>
      </c>
      <c r="B272" s="160">
        <f>'DESIGN INPUTS AND CALCULATIONS'!C167</f>
        <v>15000</v>
      </c>
      <c r="CC272" s="18"/>
      <c r="CD272" s="18"/>
      <c r="CE272" s="18"/>
    </row>
    <row r="273" spans="1:83" x14ac:dyDescent="0.15">
      <c r="A273" s="124" t="s">
        <v>426</v>
      </c>
      <c r="B273" t="e">
        <f>B271/(2*B270*B272/(1000000000000))</f>
        <v>#REF!</v>
      </c>
      <c r="CC273" s="18"/>
      <c r="CD273" s="18"/>
      <c r="CE273" s="18"/>
    </row>
    <row r="274" spans="1:83" x14ac:dyDescent="0.15">
      <c r="A274" s="124" t="s">
        <v>428</v>
      </c>
      <c r="B274" t="e">
        <f>B273/0.4</f>
        <v>#REF!</v>
      </c>
      <c r="CC274" s="18"/>
      <c r="CD274" s="18"/>
      <c r="CE274" s="18"/>
    </row>
    <row r="275" spans="1:83" x14ac:dyDescent="0.15">
      <c r="CC275" s="18"/>
      <c r="CD275" s="18"/>
      <c r="CE275" s="18"/>
    </row>
    <row r="276" spans="1:83" x14ac:dyDescent="0.15">
      <c r="CC276" s="18"/>
      <c r="CD276" s="18"/>
      <c r="CE276" s="18"/>
    </row>
    <row r="277" spans="1:83" ht="15" x14ac:dyDescent="0.25">
      <c r="A277" s="124" t="s">
        <v>458</v>
      </c>
      <c r="D277" t="s">
        <v>464</v>
      </c>
      <c r="E277" s="164" t="s">
        <v>465</v>
      </c>
      <c r="F277" t="s">
        <v>466</v>
      </c>
      <c r="G277" t="s">
        <v>467</v>
      </c>
      <c r="H277" t="s">
        <v>468</v>
      </c>
      <c r="I277" t="s">
        <v>469</v>
      </c>
      <c r="K277" t="s">
        <v>516</v>
      </c>
      <c r="L277" t="s">
        <v>514</v>
      </c>
      <c r="M277" t="s">
        <v>468</v>
      </c>
      <c r="N277" t="s">
        <v>469</v>
      </c>
      <c r="P277" t="s">
        <v>517</v>
      </c>
      <c r="Q277" t="s">
        <v>468</v>
      </c>
      <c r="R277" t="s">
        <v>469</v>
      </c>
      <c r="CC277" s="18"/>
      <c r="CD277" s="18"/>
      <c r="CE277" s="18"/>
    </row>
    <row r="278" spans="1:83" x14ac:dyDescent="0.15">
      <c r="A278" s="124" t="s">
        <v>29</v>
      </c>
      <c r="B278">
        <f>Compensation!C21</f>
        <v>0.85</v>
      </c>
      <c r="D278" s="18">
        <v>10</v>
      </c>
      <c r="E278" s="18">
        <f>2*PI()*D278</f>
        <v>62.831853071795862</v>
      </c>
      <c r="F278" t="str">
        <f>COMPLEX(0,E278)</f>
        <v>62.8318530717959i</v>
      </c>
      <c r="G278" t="str">
        <f>IMPRODUCT($B$286,IMDIV(IMSUM(1,IMPRODUCT($B$287,F278)),IMSUM(1,IMPRODUCT($B$288,F278))))</f>
        <v>0.818560546949453-0.00658275673130459i</v>
      </c>
      <c r="H278">
        <f>20*LOG10(IMABS(G278))</f>
        <v>-1.7387029706106849</v>
      </c>
      <c r="I278">
        <f>IMARGUMENT(G278)*180/PI()</f>
        <v>-0.46075522375860722</v>
      </c>
      <c r="K278" t="str">
        <f t="shared" ref="K278:K314" si="50">IMDIV(IMSUM(IMPRODUCT(IMPOWER(F278,2),$A$309),IMPRODUCT(F278,$A$310),1),IMSUM(IMPRODUCT(IMPOWER(F278,2),$A$313),IMPRODUCT(F278,$A$314)))</f>
        <v>1.22140018674826-10.7197159024421i</v>
      </c>
      <c r="L278" t="str">
        <f>IMPRODUCT(IMDIV(K278,IMSUM(IMPRODUCT(1/$B$304,F278),1)),$B$308)</f>
        <v>12.751388587543-118.530018811918i</v>
      </c>
      <c r="M278">
        <f>20*LOG10(IMABS(L278))</f>
        <v>41.526540764238653</v>
      </c>
      <c r="N278">
        <f>IMARGUMENT(L278)*180/PI()</f>
        <v>-83.859769250303813</v>
      </c>
      <c r="P278" t="str">
        <f>IMDIV(IMPRODUCT(L278,G278),IMSUM(1,IMPRODUCT($B$317,L278,G278)))</f>
        <v>9.51254496215993-0.931557135333976i</v>
      </c>
      <c r="Q278">
        <f>20*LOG10(IMABS(P278))</f>
        <v>19.60738551218428</v>
      </c>
      <c r="R278">
        <f>IMARGUMENT(P278)*180/PI()</f>
        <v>-5.5931031071171873</v>
      </c>
      <c r="CC278" s="18"/>
      <c r="CD278" s="18"/>
      <c r="CE278" s="18"/>
    </row>
    <row r="279" spans="1:83" x14ac:dyDescent="0.15">
      <c r="A279" s="124" t="s">
        <v>28</v>
      </c>
      <c r="B279" s="120">
        <f>Compensation!C13</f>
        <v>9.7058823529411757</v>
      </c>
      <c r="D279" s="18">
        <f>D278+10</f>
        <v>20</v>
      </c>
      <c r="E279" s="18">
        <f t="shared" ref="E279:E314" si="51">2*PI()*D279</f>
        <v>125.66370614359172</v>
      </c>
      <c r="F279" t="str">
        <f t="shared" ref="F279:F314" si="52">COMPLEX(0,E279)</f>
        <v>125.663706143592i</v>
      </c>
      <c r="G279" t="str">
        <f t="shared" ref="G279:G314" si="53">IMPRODUCT($B$286,IMDIV(IMSUM(1,IMPRODUCT($B$287,F279)),IMSUM(1,IMPRODUCT($B$288,F279))))</f>
        <v>0.818387491876727-0.0131624795500155i</v>
      </c>
      <c r="H279">
        <f t="shared" ref="H279:H314" si="54">20*LOG10(IMABS(G279))</f>
        <v>-1.7396970651386372</v>
      </c>
      <c r="I279">
        <f t="shared" ref="I279:I314" si="55">IMARGUMENT(G279)*180/PI()</f>
        <v>-0.9214333262623392</v>
      </c>
      <c r="K279" t="str">
        <f t="shared" si="50"/>
        <v>1.22140015841527-5.35992654200178i</v>
      </c>
      <c r="L279" t="str">
        <f t="shared" ref="L279:L314" si="56">IMPRODUCT(IMDIV(K279,IMSUM(IMPRODUCT(1/$B$304,F279),1)),$B$308)</f>
        <v>12.7498687763715-59.3859272227568i</v>
      </c>
      <c r="M279">
        <f t="shared" ref="M279:M314" si="57">20*LOG10(IMABS(L279))</f>
        <v>35.669377923507056</v>
      </c>
      <c r="N279">
        <f t="shared" ref="N279:N314" si="58">IMARGUMENT(L279)*180/PI()</f>
        <v>-77.882817410174468</v>
      </c>
      <c r="P279" t="str">
        <f t="shared" ref="P279:P314" si="59">IMDIV(IMPRODUCT(L279,G279),IMSUM(1,IMPRODUCT($B$317,L279,G279)))</f>
        <v>9.03706451203195-1.66627002679863i</v>
      </c>
      <c r="Q279">
        <f t="shared" ref="Q279:Q314" si="60">20*LOG10(IMABS(P279))</f>
        <v>19.26573892701396</v>
      </c>
      <c r="R279">
        <f t="shared" ref="R279:R314" si="61">IMARGUMENT(P279)*180/PI()</f>
        <v>-10.446965057707136</v>
      </c>
      <c r="CC279" s="18"/>
      <c r="CD279" s="18"/>
      <c r="CE279" s="18"/>
    </row>
    <row r="280" spans="1:83" x14ac:dyDescent="0.15">
      <c r="A280" s="124" t="s">
        <v>30</v>
      </c>
      <c r="B280" s="120">
        <f>Compensation!C14</f>
        <v>0.17615279680433163</v>
      </c>
      <c r="D280" s="18">
        <f t="shared" ref="D280:D287" si="62">D279+10</f>
        <v>30</v>
      </c>
      <c r="E280" s="18">
        <f t="shared" si="51"/>
        <v>188.49555921538757</v>
      </c>
      <c r="F280" t="str">
        <f t="shared" si="52"/>
        <v>188.495559215388i</v>
      </c>
      <c r="G280" t="str">
        <f t="shared" si="53"/>
        <v>0.818099243929645-0.0197361392027279i</v>
      </c>
      <c r="H280">
        <f t="shared" si="54"/>
        <v>-1.7413533769182465</v>
      </c>
      <c r="I280">
        <f t="shared" si="55"/>
        <v>-1.3819572573682306</v>
      </c>
      <c r="K280" t="str">
        <f t="shared" si="50"/>
        <v>1.22140011119364-3.57336057328707i</v>
      </c>
      <c r="L280" t="str">
        <f t="shared" si="56"/>
        <v>12.7473365574704-39.7249288519324i</v>
      </c>
      <c r="M280">
        <f t="shared" si="57"/>
        <v>32.406901369146638</v>
      </c>
      <c r="N280">
        <f t="shared" si="58"/>
        <v>-72.209078349831941</v>
      </c>
      <c r="P280" t="str">
        <f t="shared" si="59"/>
        <v>8.44070978062224-2.12917886593629i</v>
      </c>
      <c r="Q280">
        <f t="shared" si="60"/>
        <v>18.795487796107739</v>
      </c>
      <c r="R280">
        <f t="shared" si="61"/>
        <v>-14.157574019859528</v>
      </c>
      <c r="CC280" s="18"/>
      <c r="CD280" s="18"/>
      <c r="CE280" s="18"/>
    </row>
    <row r="281" spans="1:83" x14ac:dyDescent="0.15">
      <c r="A281" s="124" t="s">
        <v>10</v>
      </c>
      <c r="B281">
        <f>B279*B278*B278</f>
        <v>7.0125000000000002</v>
      </c>
      <c r="D281" s="18">
        <f t="shared" si="62"/>
        <v>40</v>
      </c>
      <c r="E281" s="18">
        <f t="shared" si="51"/>
        <v>251.32741228718345</v>
      </c>
      <c r="F281" t="str">
        <f t="shared" si="52"/>
        <v>251.327412287183i</v>
      </c>
      <c r="G281" t="str">
        <f t="shared" si="53"/>
        <v>0.8176960684411-0.0263007157393962i</v>
      </c>
      <c r="H281">
        <f t="shared" si="54"/>
        <v>-1.743671138125034</v>
      </c>
      <c r="I281">
        <f t="shared" si="55"/>
        <v>-1.8422501089933123</v>
      </c>
      <c r="K281" t="str">
        <f t="shared" si="50"/>
        <v>1.2214000450834-2.68010045247454i</v>
      </c>
      <c r="L281" t="str">
        <f t="shared" si="56"/>
        <v>12.7437931294229-29.9346560955968i</v>
      </c>
      <c r="M281">
        <f t="shared" si="57"/>
        <v>30.246858973326955</v>
      </c>
      <c r="N281">
        <f t="shared" si="58"/>
        <v>-66.939557051319227</v>
      </c>
      <c r="P281" t="str">
        <f t="shared" si="59"/>
        <v>7.86046056754529-2.35883489454928i</v>
      </c>
      <c r="Q281">
        <f t="shared" si="60"/>
        <v>18.283436768743073</v>
      </c>
      <c r="R281">
        <f t="shared" si="61"/>
        <v>-16.703903296043492</v>
      </c>
      <c r="CC281" s="18"/>
      <c r="CD281" s="18"/>
      <c r="CE281" s="18"/>
    </row>
    <row r="282" spans="1:83" x14ac:dyDescent="0.15">
      <c r="A282" s="124" t="s">
        <v>459</v>
      </c>
      <c r="B282">
        <f>((B279+1)*B278^2-1)^2+((B278^2-1)*B278*B280*B279)^2</f>
        <v>45.522859604495395</v>
      </c>
      <c r="D282" s="18">
        <f t="shared" si="62"/>
        <v>50</v>
      </c>
      <c r="E282" s="18">
        <f t="shared" si="51"/>
        <v>314.15926535897933</v>
      </c>
      <c r="F282" t="str">
        <f t="shared" si="52"/>
        <v>314.159265358979i</v>
      </c>
      <c r="G282" t="str">
        <f t="shared" si="53"/>
        <v>0.817178336022414-0.0328532031275537i</v>
      </c>
      <c r="H282">
        <f t="shared" si="54"/>
        <v>-1.7466492754541991</v>
      </c>
      <c r="I282">
        <f t="shared" si="55"/>
        <v>-2.3022351857360346</v>
      </c>
      <c r="K282" t="str">
        <f t="shared" si="50"/>
        <v>1.22139996008458-2.14416267079009i</v>
      </c>
      <c r="L282" t="str">
        <f t="shared" si="56"/>
        <v>12.7392401682597-24.0926202353496i</v>
      </c>
      <c r="M282">
        <f t="shared" si="57"/>
        <v>28.70838327665345</v>
      </c>
      <c r="N282">
        <f t="shared" si="58"/>
        <v>-62.131856161750058</v>
      </c>
      <c r="P282" t="str">
        <f t="shared" si="59"/>
        <v>7.36116519369941-2.43258409295856i</v>
      </c>
      <c r="Q282">
        <f t="shared" si="60"/>
        <v>17.789049537681979</v>
      </c>
      <c r="R282">
        <f t="shared" si="61"/>
        <v>-18.28674877089049</v>
      </c>
      <c r="CC282" s="18"/>
      <c r="CD282" s="18"/>
      <c r="CE282" s="18"/>
    </row>
    <row r="283" spans="1:83" x14ac:dyDescent="0.15">
      <c r="A283" s="124" t="s">
        <v>460</v>
      </c>
      <c r="B283" s="18">
        <f>2*((B279+1)*B278^2-1)*(B279+1)+((B278^2-1)*B280*B279)^2+2*(B278*B280*B279)^2*(B278^2-1)</f>
        <v>143.26119379906652</v>
      </c>
      <c r="D283" s="18">
        <f t="shared" si="62"/>
        <v>60</v>
      </c>
      <c r="E283" s="18">
        <f t="shared" si="51"/>
        <v>376.99111843077515</v>
      </c>
      <c r="F283" t="str">
        <f t="shared" si="52"/>
        <v>376.991118430775i</v>
      </c>
      <c r="G283" t="str">
        <f t="shared" si="53"/>
        <v>0.816546521713026-0.0393906138218079i</v>
      </c>
      <c r="H283">
        <f t="shared" si="54"/>
        <v>-1.7502864117635619</v>
      </c>
      <c r="I283">
        <f t="shared" si="55"/>
        <v>-2.7618360750090512</v>
      </c>
      <c r="K283" t="str">
        <f t="shared" si="50"/>
        <v>1.22139985619722-1.78688605863457i</v>
      </c>
      <c r="L283" t="str">
        <f t="shared" si="56"/>
        <v>12.7336798254791-20.2246457528934i</v>
      </c>
      <c r="M283">
        <f t="shared" si="57"/>
        <v>27.567751953829283</v>
      </c>
      <c r="N283">
        <f t="shared" si="58"/>
        <v>-57.804989084059009</v>
      </c>
      <c r="P283" t="str">
        <f t="shared" si="59"/>
        <v>6.95624244046886-2.41758344679037i</v>
      </c>
      <c r="Q283">
        <f t="shared" si="60"/>
        <v>17.342717858238306</v>
      </c>
      <c r="R283">
        <f t="shared" si="61"/>
        <v>-19.164464690648458</v>
      </c>
      <c r="CC283" s="18"/>
      <c r="CD283" s="18"/>
      <c r="CE283" s="18"/>
    </row>
    <row r="284" spans="1:83" x14ac:dyDescent="0.15">
      <c r="A284" s="124" t="s">
        <v>462</v>
      </c>
      <c r="B284" s="18">
        <f>0.001*Compensation!C3/Compensation!C6*B278/Compensation!C15*(B279/SQRT(B282)-0.5*B281/(B282*SQRT(B282))*B283)</f>
        <v>-1.6790547006935069E-5</v>
      </c>
      <c r="D284" s="18">
        <f t="shared" si="62"/>
        <v>70</v>
      </c>
      <c r="E284" s="18">
        <f t="shared" si="51"/>
        <v>439.82297150257102</v>
      </c>
      <c r="F284" t="str">
        <f t="shared" si="52"/>
        <v>439.822971502571i</v>
      </c>
      <c r="G284" t="str">
        <f t="shared" si="53"/>
        <v>0.815801203893475-0.0459099832740917i</v>
      </c>
      <c r="H284">
        <f t="shared" si="54"/>
        <v>-1.7545808681769923</v>
      </c>
      <c r="I284">
        <f t="shared" si="55"/>
        <v>-3.2209767165241132</v>
      </c>
      <c r="K284" t="str">
        <f t="shared" si="50"/>
        <v>1.22139973342138-1.53170154331595i</v>
      </c>
      <c r="L284" t="str">
        <f t="shared" si="56"/>
        <v>12.7271147255086-17.4846466733907i</v>
      </c>
      <c r="M284">
        <f t="shared" si="57"/>
        <v>26.699602370292737</v>
      </c>
      <c r="N284">
        <f t="shared" si="58"/>
        <v>-53.949040310638388</v>
      </c>
      <c r="P284" t="str">
        <f t="shared" si="59"/>
        <v>6.63597947775634-2.35856527127577i</v>
      </c>
      <c r="Q284">
        <f t="shared" si="60"/>
        <v>16.954733912638858</v>
      </c>
      <c r="R284">
        <f t="shared" si="61"/>
        <v>-19.566272191484945</v>
      </c>
      <c r="CC284" s="18"/>
      <c r="CD284" s="18"/>
      <c r="CE284" s="18"/>
    </row>
    <row r="285" spans="1:83" x14ac:dyDescent="0.15">
      <c r="A285" s="124" t="s">
        <v>463</v>
      </c>
      <c r="B285">
        <f>(1-Compensation!C4/(2*1000*Compensation!C22*B284))</f>
        <v>2.7575439605034928</v>
      </c>
      <c r="D285" s="18">
        <f t="shared" si="62"/>
        <v>80</v>
      </c>
      <c r="E285" s="18">
        <f t="shared" si="51"/>
        <v>502.6548245743669</v>
      </c>
      <c r="F285" t="str">
        <f t="shared" si="52"/>
        <v>502.654824574367i</v>
      </c>
      <c r="G285" t="str">
        <f t="shared" si="53"/>
        <v>0.814943062966323-0.0524083743704692i</v>
      </c>
      <c r="H285">
        <f t="shared" si="54"/>
        <v>-1.7595306666414192</v>
      </c>
      <c r="I285">
        <f t="shared" si="55"/>
        <v>-3.6795814709720793</v>
      </c>
      <c r="K285" t="str">
        <f t="shared" si="50"/>
        <v>1.22139959175711-1.34032458848235i</v>
      </c>
      <c r="L285" t="str">
        <f t="shared" si="56"/>
        <v>12.7195479626132-15.4495706623i</v>
      </c>
      <c r="M285">
        <f t="shared" si="57"/>
        <v>26.025766398431834</v>
      </c>
      <c r="N285">
        <f t="shared" si="58"/>
        <v>-50.535558130603995</v>
      </c>
      <c r="P285" t="str">
        <f t="shared" si="59"/>
        <v>6.38433003980769-2.28171697974453i</v>
      </c>
      <c r="Q285">
        <f t="shared" si="60"/>
        <v>16.624357908914899</v>
      </c>
      <c r="R285">
        <f t="shared" si="61"/>
        <v>-19.666550720923951</v>
      </c>
      <c r="CC285" s="18"/>
      <c r="CD285" s="18"/>
      <c r="CE285" s="18"/>
    </row>
    <row r="286" spans="1:83" x14ac:dyDescent="0.15">
      <c r="A286" t="s">
        <v>470</v>
      </c>
      <c r="B286">
        <f>Compensation!C12*0.000001*(Compensation!C17*0.000000000001+Compensation!C18*0.000000000001)*Compensation!C22*1000*Compensation!C9*Compensation!C3*Compensation!C7/(2*Compensation!C18*0.000000000001*Compensation!C4*B285)</f>
        <v>0.81861824970336095</v>
      </c>
      <c r="D286" s="18">
        <f t="shared" si="62"/>
        <v>90</v>
      </c>
      <c r="E286" s="18">
        <f t="shared" si="51"/>
        <v>565.48667764616278</v>
      </c>
      <c r="F286" t="str">
        <f t="shared" si="52"/>
        <v>565.486677646163i</v>
      </c>
      <c r="G286" t="str">
        <f t="shared" si="53"/>
        <v>0.813972879810605-0.0588828817806992i</v>
      </c>
      <c r="H286">
        <f t="shared" si="54"/>
        <v>-1.7651335329294102</v>
      </c>
      <c r="I286">
        <f t="shared" si="55"/>
        <v>-4.1375751877447984</v>
      </c>
      <c r="K286" t="str">
        <f t="shared" si="50"/>
        <v>1.22139943120448-1.19148600726642i</v>
      </c>
      <c r="L286" t="str">
        <f t="shared" si="56"/>
        <v>12.7109830972583-13.8843804006414i</v>
      </c>
      <c r="M286">
        <f t="shared" si="57"/>
        <v>25.494264443297695</v>
      </c>
      <c r="N286">
        <f t="shared" si="58"/>
        <v>-47.526272676551947</v>
      </c>
      <c r="P286" t="str">
        <f t="shared" si="59"/>
        <v>6.18593823111371-2.20121667835797i</v>
      </c>
      <c r="Q286">
        <f t="shared" si="60"/>
        <v>16.345899772643833</v>
      </c>
      <c r="R286">
        <f t="shared" si="61"/>
        <v>-19.587695001907353</v>
      </c>
      <c r="CC286" s="18"/>
      <c r="CD286" s="18"/>
      <c r="CE286" s="18"/>
    </row>
    <row r="287" spans="1:83" ht="15" x14ac:dyDescent="0.25">
      <c r="A287" s="164" t="s">
        <v>472</v>
      </c>
      <c r="B287" s="165">
        <f>Compensation!C19*0.001*Compensation!C20*0.001</f>
        <v>1.152E-5</v>
      </c>
      <c r="D287" s="18">
        <f t="shared" si="62"/>
        <v>100</v>
      </c>
      <c r="E287" s="18">
        <f t="shared" si="51"/>
        <v>628.31853071795865</v>
      </c>
      <c r="F287" t="str">
        <f t="shared" si="52"/>
        <v>628.318530717959i</v>
      </c>
      <c r="G287" t="str">
        <f t="shared" si="53"/>
        <v>0.812891534016337-0.0653306362072315i</v>
      </c>
      <c r="H287">
        <f t="shared" si="54"/>
        <v>-1.7713869000776401</v>
      </c>
      <c r="I287">
        <f t="shared" si="55"/>
        <v>-4.5948832715494587</v>
      </c>
      <c r="K287" t="str">
        <f t="shared" si="50"/>
        <v>1.22139925176361-1.07242428754307i</v>
      </c>
      <c r="L287" t="str">
        <f t="shared" si="56"/>
        <v>12.7014241519356-12.6480461436648i</v>
      </c>
      <c r="M287">
        <f t="shared" si="57"/>
        <v>25.069097073840787</v>
      </c>
      <c r="N287">
        <f t="shared" si="58"/>
        <v>-44.879353294686148</v>
      </c>
      <c r="P287" t="str">
        <f t="shared" si="59"/>
        <v>6.02820927075904-2.12423825422687i</v>
      </c>
      <c r="Q287">
        <f t="shared" si="60"/>
        <v>16.112100826288248</v>
      </c>
      <c r="R287">
        <f t="shared" si="61"/>
        <v>-19.411589416961736</v>
      </c>
      <c r="CC287" s="18"/>
      <c r="CD287" s="18"/>
      <c r="CE287" s="18"/>
    </row>
    <row r="288" spans="1:83" ht="15" x14ac:dyDescent="0.25">
      <c r="A288" s="164" t="s">
        <v>471</v>
      </c>
      <c r="B288">
        <f>Compensation!C19*0.001*(Compensation!C7/(2*B285)+Compensation!C20*0.001)</f>
        <v>1.3951113324240372E-4</v>
      </c>
      <c r="D288" s="18">
        <f>D287+100</f>
        <v>200</v>
      </c>
      <c r="E288" s="18">
        <f t="shared" si="51"/>
        <v>1256.6370614359173</v>
      </c>
      <c r="F288" t="str">
        <f t="shared" si="52"/>
        <v>1256.63706143592i</v>
      </c>
      <c r="G288" t="str">
        <f t="shared" si="53"/>
        <v>0.796223678500201-0.127739149649562i</v>
      </c>
      <c r="H288">
        <f t="shared" si="54"/>
        <v>-1.8689330070840473</v>
      </c>
      <c r="I288">
        <f t="shared" si="55"/>
        <v>-9.1143666195059225</v>
      </c>
      <c r="K288" t="str">
        <f t="shared" si="50"/>
        <v>1.22139641852501-0.536898037095721i</v>
      </c>
      <c r="L288" t="str">
        <f t="shared" si="56"/>
        <v>12.5523646638143-7.50995166005359i</v>
      </c>
      <c r="M288">
        <f t="shared" si="57"/>
        <v>23.303350911175858</v>
      </c>
      <c r="N288">
        <f t="shared" si="58"/>
        <v>-30.891652442066835</v>
      </c>
      <c r="P288" t="str">
        <f t="shared" si="59"/>
        <v>5.38432502439697-1.74620894535088i</v>
      </c>
      <c r="Q288">
        <f t="shared" si="60"/>
        <v>15.056952407095348</v>
      </c>
      <c r="R288">
        <f t="shared" si="61"/>
        <v>-17.968575221729047</v>
      </c>
      <c r="CC288" s="18"/>
      <c r="CD288" s="18"/>
      <c r="CE288" s="18"/>
    </row>
    <row r="289" spans="1:83" x14ac:dyDescent="0.15">
      <c r="D289" s="18">
        <f t="shared" ref="D289:D296" si="63">D288+100</f>
        <v>300</v>
      </c>
      <c r="E289" s="18">
        <f t="shared" si="51"/>
        <v>1884.9555921538758</v>
      </c>
      <c r="F289" t="str">
        <f t="shared" si="52"/>
        <v>1884.95559215388i</v>
      </c>
      <c r="G289" t="str">
        <f t="shared" si="53"/>
        <v>0.770041105309013-0.184723433223925i</v>
      </c>
      <c r="H289">
        <f t="shared" si="54"/>
        <v>-2.0267285987553652</v>
      </c>
      <c r="I289">
        <f t="shared" si="55"/>
        <v>-13.489652306648845</v>
      </c>
      <c r="K289" t="str">
        <f t="shared" si="50"/>
        <v>1.22139169662181-0.358694102417603i</v>
      </c>
      <c r="L289" t="str">
        <f t="shared" si="56"/>
        <v>12.3115092007375-6.2841355565243i</v>
      </c>
      <c r="M289">
        <f t="shared" si="57"/>
        <v>22.811779984515827</v>
      </c>
      <c r="N289">
        <f t="shared" si="58"/>
        <v>-27.041026270554131</v>
      </c>
      <c r="P289" t="str">
        <f t="shared" si="59"/>
        <v>5.18197355753774-1.78297915376268i</v>
      </c>
      <c r="Q289">
        <f t="shared" si="60"/>
        <v>14.775822974448253</v>
      </c>
      <c r="R289">
        <f t="shared" si="61"/>
        <v>-18.986976424448216</v>
      </c>
      <c r="CC289" s="18"/>
      <c r="CD289" s="18"/>
      <c r="CE289" s="18"/>
    </row>
    <row r="290" spans="1:83" x14ac:dyDescent="0.15">
      <c r="A290" t="s">
        <v>475</v>
      </c>
      <c r="D290" s="18">
        <f t="shared" si="63"/>
        <v>400</v>
      </c>
      <c r="E290" s="18">
        <f t="shared" si="51"/>
        <v>2513.2741228718346</v>
      </c>
      <c r="F290" t="str">
        <f t="shared" si="52"/>
        <v>2513.27412287183i</v>
      </c>
      <c r="G290" t="str">
        <f t="shared" si="53"/>
        <v>0.736395333495588-0.23450070338043i</v>
      </c>
      <c r="H290">
        <f t="shared" si="54"/>
        <v>-2.2383026789345482</v>
      </c>
      <c r="I290">
        <f t="shared" si="55"/>
        <v>-17.66376606071395</v>
      </c>
      <c r="K290" t="str">
        <f t="shared" si="50"/>
        <v>1.22138508629571-0.269820717427195i</v>
      </c>
      <c r="L290" t="str">
        <f t="shared" si="56"/>
        <v>11.989337015023-5.99469343848538i</v>
      </c>
      <c r="M290">
        <f t="shared" si="57"/>
        <v>22.545010718697608</v>
      </c>
      <c r="N290">
        <f t="shared" si="58"/>
        <v>-26.565146490998522</v>
      </c>
      <c r="P290" t="str">
        <f t="shared" si="59"/>
        <v>5.03532319640294-1.96795138347698i</v>
      </c>
      <c r="Q290">
        <f t="shared" si="60"/>
        <v>14.657888807152977</v>
      </c>
      <c r="R290">
        <f t="shared" si="61"/>
        <v>-21.347009946638089</v>
      </c>
      <c r="CC290" s="18"/>
      <c r="CD290" s="18"/>
      <c r="CE290" s="18"/>
    </row>
    <row r="291" spans="1:83" x14ac:dyDescent="0.15">
      <c r="A291" t="s">
        <v>476</v>
      </c>
      <c r="D291" s="18">
        <f t="shared" si="63"/>
        <v>500</v>
      </c>
      <c r="E291" s="18">
        <f t="shared" si="51"/>
        <v>3141.5926535897929</v>
      </c>
      <c r="F291" t="str">
        <f t="shared" si="52"/>
        <v>3141.59265358979i</v>
      </c>
      <c r="G291" t="str">
        <f t="shared" si="53"/>
        <v>0.69759778293006-0.276121411311208i</v>
      </c>
      <c r="H291">
        <f t="shared" si="54"/>
        <v>-2.4957978395359555</v>
      </c>
      <c r="I291">
        <f t="shared" si="55"/>
        <v>-21.594526209782551</v>
      </c>
      <c r="K291" t="str">
        <f t="shared" si="50"/>
        <v>1.22137658788501-0.21667951955091i</v>
      </c>
      <c r="L291" t="str">
        <f t="shared" si="56"/>
        <v>11.5989299440155-6.03816014497885i</v>
      </c>
      <c r="M291">
        <f t="shared" si="57"/>
        <v>22.329822782293768</v>
      </c>
      <c r="N291">
        <f t="shared" si="58"/>
        <v>-27.500541758770606</v>
      </c>
      <c r="P291" t="str">
        <f t="shared" si="59"/>
        <v>4.88290909787183-2.21463912532078i</v>
      </c>
      <c r="Q291">
        <f t="shared" si="60"/>
        <v>14.585989905971521</v>
      </c>
      <c r="R291">
        <f t="shared" si="61"/>
        <v>-24.396626231662605</v>
      </c>
      <c r="CC291" s="18"/>
      <c r="CD291" s="18"/>
      <c r="CE291" s="18"/>
    </row>
    <row r="292" spans="1:83" x14ac:dyDescent="0.15">
      <c r="A292" t="s">
        <v>477</v>
      </c>
      <c r="D292" s="18">
        <f t="shared" si="63"/>
        <v>600</v>
      </c>
      <c r="E292" s="18">
        <f t="shared" si="51"/>
        <v>3769.9111843077517</v>
      </c>
      <c r="F292" t="str">
        <f t="shared" si="52"/>
        <v>3769.91118430775i</v>
      </c>
      <c r="G292" t="str">
        <f t="shared" si="53"/>
        <v>0.655886779501971-0.3094080173296i</v>
      </c>
      <c r="H292">
        <f t="shared" si="54"/>
        <v>-2.7907966195887299</v>
      </c>
      <c r="I292">
        <f t="shared" si="55"/>
        <v>-25.255125642663771</v>
      </c>
      <c r="K292" t="str">
        <f t="shared" si="50"/>
        <v>1.22136620182463-0.181404380136648i</v>
      </c>
      <c r="L292" t="str">
        <f t="shared" si="56"/>
        <v>11.1547531787744-6.20971116548811i</v>
      </c>
      <c r="M292">
        <f t="shared" si="57"/>
        <v>22.121583784344715</v>
      </c>
      <c r="N292">
        <f t="shared" si="58"/>
        <v>-29.10413784077171</v>
      </c>
      <c r="P292" t="str">
        <f t="shared" si="59"/>
        <v>4.70698532479744-2.48823358659518i</v>
      </c>
      <c r="Q292">
        <f t="shared" si="60"/>
        <v>14.525073676734221</v>
      </c>
      <c r="R292">
        <f t="shared" si="61"/>
        <v>-27.86208277783027</v>
      </c>
      <c r="CC292" s="18"/>
      <c r="CD292" s="18"/>
      <c r="CE292" s="18"/>
    </row>
    <row r="293" spans="1:83" x14ac:dyDescent="0.15">
      <c r="A293" t="s">
        <v>478</v>
      </c>
      <c r="D293" s="18">
        <f t="shared" si="63"/>
        <v>700</v>
      </c>
      <c r="E293" s="18">
        <f t="shared" si="51"/>
        <v>4398.22971502571</v>
      </c>
      <c r="F293" t="str">
        <f t="shared" si="52"/>
        <v>4398.22971502571i</v>
      </c>
      <c r="G293" t="str">
        <f t="shared" si="53"/>
        <v>0.613196024055357-0.334780886790407i</v>
      </c>
      <c r="H293">
        <f t="shared" si="54"/>
        <v>-3.115022201666779</v>
      </c>
      <c r="I293">
        <f t="shared" si="55"/>
        <v>-28.632802480242013</v>
      </c>
      <c r="K293" t="str">
        <f t="shared" si="50"/>
        <v>1.221353928646-0.156338380228009i</v>
      </c>
      <c r="L293" t="str">
        <f t="shared" si="56"/>
        <v>10.6714923421347-6.42106338640627i</v>
      </c>
      <c r="M293">
        <f t="shared" si="57"/>
        <v>21.906420484661609</v>
      </c>
      <c r="N293">
        <f t="shared" si="58"/>
        <v>-31.035426785027227</v>
      </c>
      <c r="P293" t="str">
        <f t="shared" si="59"/>
        <v>4.50019612653251-2.77010316022513i</v>
      </c>
      <c r="Q293">
        <f t="shared" si="60"/>
        <v>14.459968629025795</v>
      </c>
      <c r="R293">
        <f t="shared" si="61"/>
        <v>-31.614443418795549</v>
      </c>
      <c r="CC293" s="18"/>
      <c r="CD293" s="18"/>
      <c r="CE293" s="18"/>
    </row>
    <row r="294" spans="1:83" x14ac:dyDescent="0.15">
      <c r="A294" t="s">
        <v>512</v>
      </c>
      <c r="B294">
        <f>Compensation!C27*1000</f>
        <v>16900</v>
      </c>
      <c r="D294" s="18">
        <f t="shared" si="63"/>
        <v>800</v>
      </c>
      <c r="E294" s="18">
        <f t="shared" si="51"/>
        <v>5026.5482457436692</v>
      </c>
      <c r="F294" t="str">
        <f t="shared" si="52"/>
        <v>5026.54824574367i</v>
      </c>
      <c r="G294" t="str">
        <f t="shared" si="53"/>
        <v>0.571041688079568-0.353045601633618i</v>
      </c>
      <c r="H294">
        <f t="shared" si="54"/>
        <v>-3.4608372147503426</v>
      </c>
      <c r="I294">
        <f t="shared" si="55"/>
        <v>-31.726362360606963</v>
      </c>
      <c r="K294" t="str">
        <f t="shared" si="50"/>
        <v>1.22133976897701-0.137653054508593i</v>
      </c>
      <c r="L294" t="str">
        <f t="shared" si="56"/>
        <v>10.1630896268791-6.62955426014678i</v>
      </c>
      <c r="M294">
        <f t="shared" si="57"/>
        <v>21.680239813720654</v>
      </c>
      <c r="N294">
        <f t="shared" si="58"/>
        <v>-33.117086007393318</v>
      </c>
      <c r="P294" t="str">
        <f t="shared" si="59"/>
        <v>4.25913363087354-3.04733454546807i</v>
      </c>
      <c r="Q294">
        <f t="shared" si="60"/>
        <v>14.381698684820734</v>
      </c>
      <c r="R294">
        <f t="shared" si="61"/>
        <v>-35.583047877723764</v>
      </c>
      <c r="CC294" s="18"/>
      <c r="CD294" s="18"/>
      <c r="CE294" s="18"/>
    </row>
    <row r="295" spans="1:83" x14ac:dyDescent="0.15">
      <c r="A295" t="s">
        <v>498</v>
      </c>
      <c r="B295">
        <f>Compensation!C26*1000</f>
        <v>147000</v>
      </c>
      <c r="D295" s="18">
        <f t="shared" si="63"/>
        <v>900</v>
      </c>
      <c r="E295" s="18">
        <f t="shared" si="51"/>
        <v>5654.8667764616275</v>
      </c>
      <c r="F295" t="str">
        <f t="shared" si="52"/>
        <v>5654.86677646163i</v>
      </c>
      <c r="G295" t="str">
        <f t="shared" si="53"/>
        <v>0.530507333815665-0.365198065850473i</v>
      </c>
      <c r="H295">
        <f t="shared" si="54"/>
        <v>-3.8215323389347367</v>
      </c>
      <c r="I295">
        <f t="shared" si="55"/>
        <v>-34.543290832059697</v>
      </c>
      <c r="K295" t="str">
        <f t="shared" si="50"/>
        <v>1.22132372354195-0.12322147261743i</v>
      </c>
      <c r="L295" t="str">
        <f t="shared" si="56"/>
        <v>9.64205423884611-6.81401645055096i</v>
      </c>
      <c r="M295">
        <f t="shared" si="57"/>
        <v>21.442628676407125</v>
      </c>
      <c r="N295">
        <f t="shared" si="58"/>
        <v>-35.248756546439907</v>
      </c>
      <c r="P295" t="str">
        <f t="shared" si="59"/>
        <v>3.98291372647658-3.30916753742276i</v>
      </c>
      <c r="Q295">
        <f t="shared" si="60"/>
        <v>14.28364707374725</v>
      </c>
      <c r="R295">
        <f t="shared" si="61"/>
        <v>-39.721188073964598</v>
      </c>
      <c r="CC295" s="18"/>
      <c r="CD295" s="18"/>
      <c r="CE295" s="18"/>
    </row>
    <row r="296" spans="1:83" x14ac:dyDescent="0.15">
      <c r="A296" t="s">
        <v>499</v>
      </c>
      <c r="B296">
        <f>Compensation!C28*1000</f>
        <v>33200</v>
      </c>
      <c r="D296" s="18">
        <f t="shared" si="63"/>
        <v>1000</v>
      </c>
      <c r="E296" s="18">
        <f t="shared" si="51"/>
        <v>6283.1853071795858</v>
      </c>
      <c r="F296" t="str">
        <f t="shared" si="52"/>
        <v>6283.18530717959i</v>
      </c>
      <c r="G296" t="str">
        <f t="shared" si="53"/>
        <v>0.492290730473801-0.372275936301505i</v>
      </c>
      <c r="H296">
        <f t="shared" si="54"/>
        <v>-4.1914395146226031</v>
      </c>
      <c r="I296">
        <f t="shared" si="55"/>
        <v>-37.09699254015537</v>
      </c>
      <c r="K296" t="str">
        <f t="shared" si="50"/>
        <v>1.22130579316141-0.111767471675751i</v>
      </c>
      <c r="L296" t="str">
        <f t="shared" si="56"/>
        <v>9.11905846568529-6.96467310371543i</v>
      </c>
      <c r="M296">
        <f t="shared" si="57"/>
        <v>21.194667109805486</v>
      </c>
      <c r="N296">
        <f t="shared" si="58"/>
        <v>-37.370750874866921</v>
      </c>
      <c r="P296" t="str">
        <f t="shared" si="59"/>
        <v>3.67298634335314-3.54584517687942i</v>
      </c>
      <c r="Q296">
        <f t="shared" si="60"/>
        <v>14.160385125251862</v>
      </c>
      <c r="R296">
        <f t="shared" si="61"/>
        <v>-43.9909864036022</v>
      </c>
      <c r="CC296" s="18"/>
      <c r="CD296" s="18"/>
      <c r="CE296" s="18"/>
    </row>
    <row r="297" spans="1:83" x14ac:dyDescent="0.15">
      <c r="A297" t="s">
        <v>500</v>
      </c>
      <c r="B297">
        <f>Compensation!C29*0.000000001</f>
        <v>1E-8</v>
      </c>
      <c r="D297" s="18">
        <f>D296+1000</f>
        <v>2000</v>
      </c>
      <c r="E297" s="18">
        <f t="shared" si="51"/>
        <v>12566.370614359172</v>
      </c>
      <c r="F297" t="str">
        <f t="shared" si="52"/>
        <v>12566.3706143592i</v>
      </c>
      <c r="G297" t="str">
        <f t="shared" si="53"/>
        <v>0.251962918954543-0.323221505058478i</v>
      </c>
      <c r="H297">
        <f t="shared" si="54"/>
        <v>-7.7480071764196072</v>
      </c>
      <c r="I297">
        <f t="shared" si="55"/>
        <v>-52.062288635475625</v>
      </c>
      <c r="K297" t="str">
        <f t="shared" si="50"/>
        <v>1.22102306648192-0.0627282120533415i</v>
      </c>
      <c r="L297" t="str">
        <f t="shared" si="56"/>
        <v>4.8934806184589-6.84245851952787i</v>
      </c>
      <c r="M297">
        <f t="shared" si="57"/>
        <v>18.498209115687438</v>
      </c>
      <c r="N297">
        <f t="shared" si="58"/>
        <v>-54.429011280302269</v>
      </c>
      <c r="P297" t="str">
        <f t="shared" si="59"/>
        <v>0.267036058359983-3.57550937816579i</v>
      </c>
      <c r="Q297">
        <f t="shared" si="60"/>
        <v>11.090915256462601</v>
      </c>
      <c r="R297">
        <f t="shared" si="61"/>
        <v>-85.728808007120961</v>
      </c>
      <c r="CC297" s="18"/>
      <c r="CD297" s="18"/>
      <c r="CE297" s="18"/>
    </row>
    <row r="298" spans="1:83" x14ac:dyDescent="0.15">
      <c r="A298" t="s">
        <v>501</v>
      </c>
      <c r="B298">
        <f>Compensation!C30*0.000000000001</f>
        <v>1E-10</v>
      </c>
      <c r="D298" s="18">
        <f t="shared" ref="D298:D305" si="64">D297+1000</f>
        <v>3000</v>
      </c>
      <c r="E298" s="18">
        <f t="shared" si="51"/>
        <v>18849.555921538758</v>
      </c>
      <c r="F298" t="str">
        <f t="shared" si="52"/>
        <v>18849.5559215388i</v>
      </c>
      <c r="G298" t="str">
        <f t="shared" si="53"/>
        <v>0.162477188113443-0.249509581279922i</v>
      </c>
      <c r="H298">
        <f t="shared" si="54"/>
        <v>-10.523023121678301</v>
      </c>
      <c r="I298">
        <f t="shared" si="55"/>
        <v>-56.928381591322349</v>
      </c>
      <c r="K298" t="str">
        <f t="shared" si="50"/>
        <v>1.22055345724631-0.0493979282645164i</v>
      </c>
      <c r="L298" t="str">
        <f t="shared" si="56"/>
        <v>2.7361627799746-5.7033787946428i</v>
      </c>
      <c r="M298">
        <f t="shared" si="57"/>
        <v>16.022240849170853</v>
      </c>
      <c r="N298">
        <f t="shared" si="58"/>
        <v>-64.370908106213463</v>
      </c>
      <c r="P298" t="str">
        <f t="shared" si="59"/>
        <v>-0.732950024200548-1.92524024452077i</v>
      </c>
      <c r="Q298">
        <f t="shared" si="60"/>
        <v>6.2775140211580291</v>
      </c>
      <c r="R298">
        <f t="shared" si="61"/>
        <v>-110.84211678041532</v>
      </c>
      <c r="CC298" s="18"/>
      <c r="CD298" s="18"/>
      <c r="CE298" s="18"/>
    </row>
    <row r="299" spans="1:83" x14ac:dyDescent="0.15">
      <c r="A299" t="s">
        <v>502</v>
      </c>
      <c r="B299">
        <f>Compensation!C31*1000</f>
        <v>0</v>
      </c>
      <c r="D299" s="18">
        <f t="shared" si="64"/>
        <v>4000</v>
      </c>
      <c r="E299" s="18">
        <f t="shared" si="51"/>
        <v>25132.741228718343</v>
      </c>
      <c r="F299" t="str">
        <f t="shared" si="52"/>
        <v>25132.7412287183i</v>
      </c>
      <c r="G299" t="str">
        <f t="shared" si="53"/>
        <v>0.124089394719313-0.198080428818902i</v>
      </c>
      <c r="H299">
        <f t="shared" si="54"/>
        <v>-12.625367301097164</v>
      </c>
      <c r="I299">
        <f t="shared" si="55"/>
        <v>-57.934516819679871</v>
      </c>
      <c r="K299" t="str">
        <f t="shared" si="50"/>
        <v>1.21989934692105-0.0449660622004967i</v>
      </c>
      <c r="L299" t="str">
        <f t="shared" si="56"/>
        <v>1.67166277644382-4.69820936395567i</v>
      </c>
      <c r="M299">
        <f t="shared" si="57"/>
        <v>13.956343562054181</v>
      </c>
      <c r="N299">
        <f t="shared" si="58"/>
        <v>-70.414009620865826</v>
      </c>
      <c r="P299" t="str">
        <f t="shared" si="59"/>
        <v>-0.673863122740122-1.05641345762752i</v>
      </c>
      <c r="Q299">
        <f t="shared" si="60"/>
        <v>1.9592756299509508</v>
      </c>
      <c r="R299">
        <f t="shared" si="61"/>
        <v>-122.53291582192084</v>
      </c>
      <c r="CC299" s="18"/>
      <c r="CD299" s="18"/>
      <c r="CE299" s="18"/>
    </row>
    <row r="300" spans="1:83" x14ac:dyDescent="0.15">
      <c r="A300" t="s">
        <v>503</v>
      </c>
      <c r="B300">
        <f>Compensation!C32*0.000000001</f>
        <v>0</v>
      </c>
      <c r="D300" s="18">
        <f t="shared" si="64"/>
        <v>5000</v>
      </c>
      <c r="E300" s="18">
        <f t="shared" si="51"/>
        <v>31415.926535897932</v>
      </c>
      <c r="F300" t="str">
        <f t="shared" si="52"/>
        <v>31415.9265358979i</v>
      </c>
      <c r="G300" t="str">
        <f t="shared" si="53"/>
        <v>0.104758324237585-0.16287493789572i</v>
      </c>
      <c r="H300">
        <f t="shared" si="54"/>
        <v>-14.259391793460544</v>
      </c>
      <c r="I300">
        <f t="shared" si="55"/>
        <v>-57.251581633277652</v>
      </c>
      <c r="K300" t="str">
        <f t="shared" si="50"/>
        <v>1.21906402732126-0.0440616868568537i</v>
      </c>
      <c r="L300" t="str">
        <f t="shared" si="56"/>
        <v>1.09854735823317-3.93805777827733i</v>
      </c>
      <c r="M300">
        <f t="shared" si="57"/>
        <v>12.231091185037782</v>
      </c>
      <c r="N300">
        <f t="shared" si="58"/>
        <v>-74.413202742705664</v>
      </c>
      <c r="P300" t="str">
        <f t="shared" si="59"/>
        <v>-0.514063452055955-0.658562190102745i</v>
      </c>
      <c r="Q300">
        <f t="shared" si="60"/>
        <v>-1.5616611159211398</v>
      </c>
      <c r="R300">
        <f t="shared" si="61"/>
        <v>-127.97504729156775</v>
      </c>
      <c r="CC300" s="18"/>
      <c r="CD300" s="18"/>
      <c r="CE300" s="18"/>
    </row>
    <row r="301" spans="1:83" x14ac:dyDescent="0.15">
      <c r="A301" t="s">
        <v>504</v>
      </c>
      <c r="B301" s="120">
        <f>Compensation!C33</f>
        <v>0</v>
      </c>
      <c r="D301" s="18">
        <f t="shared" si="64"/>
        <v>6000</v>
      </c>
      <c r="E301" s="18">
        <f t="shared" si="51"/>
        <v>37699.111843077517</v>
      </c>
      <c r="F301" t="str">
        <f t="shared" si="52"/>
        <v>37699.1118430775i</v>
      </c>
      <c r="G301" t="str">
        <f t="shared" si="53"/>
        <v>0.0937995326460892-0.137812754896477i</v>
      </c>
      <c r="H301">
        <f t="shared" si="54"/>
        <v>-15.561003930475692</v>
      </c>
      <c r="I301">
        <f t="shared" si="55"/>
        <v>-55.759611558569688</v>
      </c>
      <c r="K301" t="str">
        <f t="shared" si="50"/>
        <v>1.21805165956551-0.0448874782984241i</v>
      </c>
      <c r="L301" t="str">
        <f t="shared" si="56"/>
        <v>0.761839643990385-3.36806202987009i</v>
      </c>
      <c r="M301">
        <f t="shared" si="57"/>
        <v>10.764307624343871</v>
      </c>
      <c r="N301">
        <f t="shared" si="58"/>
        <v>-77.25445014061529</v>
      </c>
      <c r="P301" t="str">
        <f t="shared" si="59"/>
        <v>-0.388636398200631-0.456255890366524i</v>
      </c>
      <c r="Q301">
        <f t="shared" si="60"/>
        <v>-4.446543774520471</v>
      </c>
      <c r="R301">
        <f t="shared" si="61"/>
        <v>-130.42418466956039</v>
      </c>
      <c r="CC301" s="18"/>
      <c r="CD301" s="18"/>
      <c r="CE301" s="18"/>
    </row>
    <row r="302" spans="1:83" x14ac:dyDescent="0.15">
      <c r="A302" t="s">
        <v>505</v>
      </c>
      <c r="B302">
        <f>Compensation!C34*1000</f>
        <v>9050</v>
      </c>
      <c r="D302" s="18">
        <f t="shared" si="64"/>
        <v>7000</v>
      </c>
      <c r="E302" s="18">
        <f t="shared" si="51"/>
        <v>43982.297150257102</v>
      </c>
      <c r="F302" t="str">
        <f t="shared" si="52"/>
        <v>43982.2971502571i</v>
      </c>
      <c r="G302" t="str">
        <f t="shared" si="53"/>
        <v>0.0870276035004395-0.119228853903599i</v>
      </c>
      <c r="H302">
        <f t="shared" si="54"/>
        <v>-16.617562557296843</v>
      </c>
      <c r="I302">
        <f t="shared" si="55"/>
        <v>-53.87352156252237</v>
      </c>
      <c r="K302" t="str">
        <f t="shared" si="50"/>
        <v>1.21686722295692-0.0466674956174979i</v>
      </c>
      <c r="L302" t="str">
        <f t="shared" si="56"/>
        <v>0.549440095960907-2.93222669168181i</v>
      </c>
      <c r="M302">
        <f t="shared" si="57"/>
        <v>9.4938209121235388</v>
      </c>
      <c r="N302">
        <f t="shared" si="58"/>
        <v>-79.38699707691552</v>
      </c>
      <c r="P302" t="str">
        <f t="shared" si="59"/>
        <v>-0.299836451436037-0.341226850944467i</v>
      </c>
      <c r="Q302">
        <f t="shared" si="60"/>
        <v>-6.8542149596268374</v>
      </c>
      <c r="R302">
        <f t="shared" si="61"/>
        <v>-131.30581241025973</v>
      </c>
      <c r="CC302" s="18"/>
      <c r="CD302" s="18"/>
      <c r="CE302" s="18"/>
    </row>
    <row r="303" spans="1:83" x14ac:dyDescent="0.15">
      <c r="A303" t="s">
        <v>488</v>
      </c>
      <c r="B303" s="120">
        <f>Compensation!C35</f>
        <v>1</v>
      </c>
      <c r="D303" s="18">
        <f t="shared" si="64"/>
        <v>8000</v>
      </c>
      <c r="E303" s="18">
        <f t="shared" si="51"/>
        <v>50265.482457436687</v>
      </c>
      <c r="F303" t="str">
        <f t="shared" si="52"/>
        <v>50265.4824574367i</v>
      </c>
      <c r="G303" t="str">
        <f t="shared" si="53"/>
        <v>0.0825642310598311-0.104961726644269i</v>
      </c>
      <c r="H303">
        <f t="shared" si="54"/>
        <v>-17.487557109297196</v>
      </c>
      <c r="I303">
        <f t="shared" si="55"/>
        <v>-51.810958968347514</v>
      </c>
      <c r="K303" t="str">
        <f t="shared" si="50"/>
        <v>1.21551645494573-0.0490091799006505i</v>
      </c>
      <c r="L303" t="str">
        <f t="shared" si="56"/>
        <v>0.4077125683238-2.59092479453034i</v>
      </c>
      <c r="M303">
        <f t="shared" si="57"/>
        <v>8.3753293774284892</v>
      </c>
      <c r="N303">
        <f t="shared" si="58"/>
        <v>-81.057168569728816</v>
      </c>
      <c r="P303" t="str">
        <f t="shared" si="59"/>
        <v>-0.236971308454081-0.26960884869627i</v>
      </c>
      <c r="Q303">
        <f t="shared" si="60"/>
        <v>-8.8993468067366024</v>
      </c>
      <c r="R303">
        <f t="shared" si="61"/>
        <v>-131.31368827721559</v>
      </c>
      <c r="CC303" s="18"/>
      <c r="CD303" s="18"/>
      <c r="CE303" s="18"/>
    </row>
    <row r="304" spans="1:83" x14ac:dyDescent="0.15">
      <c r="A304" t="s">
        <v>509</v>
      </c>
      <c r="B304" s="120">
        <f>Compensation!C36*1000</f>
        <v>10000</v>
      </c>
      <c r="D304" s="18">
        <f t="shared" si="64"/>
        <v>9000</v>
      </c>
      <c r="E304" s="18">
        <f t="shared" si="51"/>
        <v>56548.667764616279</v>
      </c>
      <c r="F304" t="str">
        <f t="shared" si="52"/>
        <v>56548.6677646163i</v>
      </c>
      <c r="G304" t="str">
        <f t="shared" si="53"/>
        <v>0.0794725566054805-0.0936912010672559i</v>
      </c>
      <c r="H304">
        <f t="shared" si="54"/>
        <v>-18.211977141599448</v>
      </c>
      <c r="I304">
        <f t="shared" si="55"/>
        <v>-49.694081551934545</v>
      </c>
      <c r="K304" t="str">
        <f t="shared" si="50"/>
        <v>1.21400578349603-0.0516907280808165i</v>
      </c>
      <c r="L304" t="str">
        <f t="shared" si="56"/>
        <v>0.30883306667-2.31757811427131i</v>
      </c>
      <c r="M304">
        <f t="shared" si="57"/>
        <v>7.3771302117235074</v>
      </c>
      <c r="N304">
        <f t="shared" si="58"/>
        <v>-82.409664548354428</v>
      </c>
      <c r="P304" t="str">
        <f t="shared" si="59"/>
        <v>-0.191523771557713-0.221730797403365i</v>
      </c>
      <c r="Q304">
        <f t="shared" si="60"/>
        <v>-10.662804338734313</v>
      </c>
      <c r="R304">
        <f t="shared" si="61"/>
        <v>-130.81937464338154</v>
      </c>
      <c r="CC304" s="18"/>
      <c r="CD304" s="18"/>
      <c r="CE304" s="18"/>
    </row>
    <row r="305" spans="1:83" x14ac:dyDescent="0.15">
      <c r="A305" t="s">
        <v>515</v>
      </c>
      <c r="B305" s="18">
        <v>100000</v>
      </c>
      <c r="D305" s="18">
        <f t="shared" si="64"/>
        <v>10000</v>
      </c>
      <c r="E305" s="18">
        <f t="shared" si="51"/>
        <v>62831.853071795864</v>
      </c>
      <c r="F305" t="str">
        <f t="shared" si="52"/>
        <v>62831.8530717959i</v>
      </c>
      <c r="G305" t="str">
        <f t="shared" si="53"/>
        <v>0.0772451189104082-0.0845761880782636i</v>
      </c>
      <c r="H305">
        <f t="shared" si="54"/>
        <v>-18.820681515532215</v>
      </c>
      <c r="I305">
        <f t="shared" si="55"/>
        <v>-47.593924867456735</v>
      </c>
      <c r="K305" t="str">
        <f t="shared" si="50"/>
        <v>1.21234225330173-0.0545760722589i</v>
      </c>
      <c r="L305" t="str">
        <f t="shared" si="56"/>
        <v>0.237335582412066-2.0942739664802i</v>
      </c>
      <c r="M305">
        <f t="shared" si="57"/>
        <v>6.4760902076475881</v>
      </c>
      <c r="N305">
        <f t="shared" si="58"/>
        <v>-83.534485689355151</v>
      </c>
      <c r="P305" t="str">
        <f t="shared" si="59"/>
        <v>-0.157854455672118-0.187881465213504i</v>
      </c>
      <c r="Q305">
        <f t="shared" si="60"/>
        <v>-12.202774651521215</v>
      </c>
      <c r="R305">
        <f t="shared" si="61"/>
        <v>-130.03634229599396</v>
      </c>
      <c r="CC305" s="18"/>
      <c r="CD305" s="18"/>
      <c r="CE305" s="18"/>
    </row>
    <row r="306" spans="1:83" x14ac:dyDescent="0.15">
      <c r="D306" s="18">
        <f>D305+10000</f>
        <v>20000</v>
      </c>
      <c r="E306" s="18">
        <f t="shared" si="51"/>
        <v>125663.70614359173</v>
      </c>
      <c r="F306" t="str">
        <f t="shared" si="52"/>
        <v>125663.706143592i</v>
      </c>
      <c r="G306" t="str">
        <f t="shared" si="53"/>
        <v>0.0700322188592421-0.0426995195184075i</v>
      </c>
      <c r="H306">
        <f t="shared" si="54"/>
        <v>-21.721294678951434</v>
      </c>
      <c r="I306">
        <f t="shared" si="55"/>
        <v>-31.371184340203133</v>
      </c>
      <c r="K306" t="str">
        <f t="shared" si="50"/>
        <v>1.18912924054105-0.0834839756199164i</v>
      </c>
      <c r="L306" t="str">
        <f t="shared" si="56"/>
        <v>0.00973729026773205-1.04483726701227i</v>
      </c>
      <c r="M306">
        <f t="shared" si="57"/>
        <v>0.38135026671655703</v>
      </c>
      <c r="N306">
        <f t="shared" si="58"/>
        <v>-89.466051314416504</v>
      </c>
      <c r="P306" t="str">
        <f t="shared" si="59"/>
        <v>-0.0435660447500072-0.0742549882899606i</v>
      </c>
      <c r="Q306">
        <f t="shared" si="60"/>
        <v>-21.300761007058327</v>
      </c>
      <c r="R306">
        <f t="shared" si="61"/>
        <v>-120.40051769487532</v>
      </c>
      <c r="CC306" s="18"/>
      <c r="CD306" s="18"/>
      <c r="CE306" s="18"/>
    </row>
    <row r="307" spans="1:83" x14ac:dyDescent="0.15">
      <c r="D307" s="18">
        <f t="shared" ref="D307:D314" si="65">D306+10000</f>
        <v>30000</v>
      </c>
      <c r="E307" s="18">
        <f t="shared" si="51"/>
        <v>188495.55921538759</v>
      </c>
      <c r="F307" t="str">
        <f t="shared" si="52"/>
        <v>188495.559215388i</v>
      </c>
      <c r="G307" t="str">
        <f t="shared" si="53"/>
        <v>0.0686810668875051-0.0285177263586005i</v>
      </c>
      <c r="H307">
        <f t="shared" si="54"/>
        <v>-22.572474088429892</v>
      </c>
      <c r="I307">
        <f t="shared" si="55"/>
        <v>-22.549183652149051</v>
      </c>
      <c r="K307" t="str">
        <f t="shared" si="50"/>
        <v>1.15998100565198-0.102698920710937i</v>
      </c>
      <c r="L307" t="str">
        <f t="shared" si="56"/>
        <v>-0.0240605332738191-0.681264336541355i</v>
      </c>
      <c r="M307">
        <f t="shared" si="57"/>
        <v>-3.3282732237674373</v>
      </c>
      <c r="N307">
        <f t="shared" si="58"/>
        <v>-92.022701308391092</v>
      </c>
      <c r="P307" t="str">
        <f t="shared" si="59"/>
        <v>-0.0209059342917838-0.0463038418937246i</v>
      </c>
      <c r="Q307">
        <f t="shared" si="60"/>
        <v>-25.881945192439741</v>
      </c>
      <c r="R307">
        <f t="shared" si="61"/>
        <v>-114.29891871468767</v>
      </c>
      <c r="CC307" s="18"/>
      <c r="CD307" s="18"/>
      <c r="CE307" s="18"/>
    </row>
    <row r="308" spans="1:83" x14ac:dyDescent="0.15">
      <c r="A308" s="55" t="s">
        <v>506</v>
      </c>
      <c r="B308" s="18">
        <f>B303*B305/B302</f>
        <v>11.049723756906078</v>
      </c>
      <c r="D308" s="18">
        <f t="shared" si="65"/>
        <v>40000</v>
      </c>
      <c r="E308" s="18">
        <f t="shared" si="51"/>
        <v>251327.41228718346</v>
      </c>
      <c r="F308" t="str">
        <f t="shared" si="52"/>
        <v>251327.412287183i</v>
      </c>
      <c r="G308" t="str">
        <f t="shared" si="53"/>
        <v>0.0682070106612145-0.0214018149070864i</v>
      </c>
      <c r="H308">
        <f t="shared" si="54"/>
        <v>-22.915592141669336</v>
      </c>
      <c r="I308">
        <f t="shared" si="55"/>
        <v>-17.420675739528541</v>
      </c>
      <c r="K308" t="str">
        <f t="shared" si="50"/>
        <v>1.13158872406873-0.111391356792458i</v>
      </c>
      <c r="L308" t="str">
        <f t="shared" si="56"/>
        <v>-0.0291323757986044-0.498667259139525i</v>
      </c>
      <c r="M308">
        <f t="shared" si="57"/>
        <v>-6.0289858810443819</v>
      </c>
      <c r="N308">
        <f t="shared" si="58"/>
        <v>-93.343446167541728</v>
      </c>
      <c r="P308" t="str">
        <f t="shared" si="59"/>
        <v>-0.0125605607550058-0.0334760583500555i</v>
      </c>
      <c r="Q308">
        <f t="shared" si="60"/>
        <v>-28.933284245572274</v>
      </c>
      <c r="R308">
        <f t="shared" si="61"/>
        <v>-110.56660654875775</v>
      </c>
      <c r="CC308" s="18"/>
      <c r="CD308" s="18"/>
      <c r="CE308" s="18"/>
    </row>
    <row r="309" spans="1:83" x14ac:dyDescent="0.15">
      <c r="A309" s="55">
        <f>B296*B297*B295*B298</f>
        <v>4.8804000000000006E-9</v>
      </c>
      <c r="D309" s="18">
        <f t="shared" si="65"/>
        <v>50000</v>
      </c>
      <c r="E309" s="18">
        <f t="shared" si="51"/>
        <v>314159.26535897929</v>
      </c>
      <c r="F309" t="str">
        <f t="shared" si="52"/>
        <v>314159.265358979i</v>
      </c>
      <c r="G309" t="str">
        <f t="shared" si="53"/>
        <v>0.0679873873905999-0.0171264628704337i</v>
      </c>
      <c r="H309">
        <f t="shared" si="54"/>
        <v>-23.084234136765861</v>
      </c>
      <c r="I309">
        <f t="shared" si="55"/>
        <v>-14.139004579612733</v>
      </c>
      <c r="K309" t="str">
        <f t="shared" si="50"/>
        <v>1.10714129330204-0.112786812825169i</v>
      </c>
      <c r="L309" t="str">
        <f t="shared" si="56"/>
        <v>-0.0272469465781211-0.390275053114201i</v>
      </c>
      <c r="M309">
        <f t="shared" si="57"/>
        <v>-8.1514676592890467</v>
      </c>
      <c r="N309">
        <f t="shared" si="58"/>
        <v>-93.993609247548079</v>
      </c>
      <c r="P309" t="str">
        <f t="shared" si="59"/>
        <v>-0.00847375168700594-0.0261128982218403i</v>
      </c>
      <c r="Q309">
        <f t="shared" si="60"/>
        <v>-31.228084447911364</v>
      </c>
      <c r="R309">
        <f t="shared" si="61"/>
        <v>-107.97847746105393</v>
      </c>
      <c r="CC309" s="18"/>
      <c r="CD309" s="18"/>
      <c r="CE309" s="18"/>
    </row>
    <row r="310" spans="1:83" x14ac:dyDescent="0.15">
      <c r="A310" s="55">
        <f>B296*B297+B295*B297+B295*B298</f>
        <v>1.8167000000000001E-3</v>
      </c>
      <c r="D310" s="18">
        <f t="shared" si="65"/>
        <v>60000</v>
      </c>
      <c r="E310" s="18">
        <f t="shared" si="51"/>
        <v>376991.11843077518</v>
      </c>
      <c r="F310" t="str">
        <f t="shared" si="52"/>
        <v>376991.118430775i</v>
      </c>
      <c r="G310" t="str">
        <f t="shared" si="53"/>
        <v>0.0678680319695311-0.0142743217455923i</v>
      </c>
      <c r="H310">
        <f t="shared" si="54"/>
        <v>-23.178706321237065</v>
      </c>
      <c r="I310">
        <f t="shared" si="55"/>
        <v>-11.877594726678526</v>
      </c>
      <c r="K310" t="str">
        <f t="shared" si="50"/>
        <v>1.08731455144881-0.109988404317471i</v>
      </c>
      <c r="L310" t="str">
        <f t="shared" si="56"/>
        <v>-0.023767558467695-0.319325639260433i</v>
      </c>
      <c r="M310">
        <f t="shared" si="57"/>
        <v>-9.8913311331769105</v>
      </c>
      <c r="N310">
        <f t="shared" si="58"/>
        <v>-94.256703003188676</v>
      </c>
      <c r="P310" t="str">
        <f t="shared" si="59"/>
        <v>-0.00612812962770187-0.0213598084419966i</v>
      </c>
      <c r="Q310">
        <f t="shared" si="60"/>
        <v>-33.064529694100962</v>
      </c>
      <c r="R310">
        <f t="shared" si="61"/>
        <v>-106.00818680821021</v>
      </c>
      <c r="CC310" s="18"/>
      <c r="CD310" s="18"/>
      <c r="CE310" s="18"/>
    </row>
    <row r="311" spans="1:83" x14ac:dyDescent="0.15">
      <c r="A311" s="55">
        <v>1</v>
      </c>
      <c r="D311" s="18">
        <f t="shared" si="65"/>
        <v>70000</v>
      </c>
      <c r="E311" s="18">
        <f t="shared" si="51"/>
        <v>439822.97150257102</v>
      </c>
      <c r="F311" t="str">
        <f t="shared" si="52"/>
        <v>439822.971502571i</v>
      </c>
      <c r="G311" t="str">
        <f t="shared" si="53"/>
        <v>0.0677960460700251-0.0122363060940158i</v>
      </c>
      <c r="H311">
        <f t="shared" si="54"/>
        <v>-23.236694248615215</v>
      </c>
      <c r="I311">
        <f t="shared" si="55"/>
        <v>-10.230999705656307</v>
      </c>
      <c r="K311" t="str">
        <f t="shared" si="50"/>
        <v>1.07164575619452-0.105113571511299i</v>
      </c>
      <c r="L311" t="str">
        <f t="shared" si="56"/>
        <v>-0.0202759785414814-0.269691815077975i</v>
      </c>
      <c r="M311">
        <f t="shared" si="57"/>
        <v>-11.358166000905142</v>
      </c>
      <c r="N311">
        <f t="shared" si="58"/>
        <v>-94.299524487098978</v>
      </c>
      <c r="P311" t="str">
        <f t="shared" si="59"/>
        <v>-0.00464332697108959-0.018053272803326i</v>
      </c>
      <c r="Q311">
        <f t="shared" si="60"/>
        <v>-34.590687570045318</v>
      </c>
      <c r="R311">
        <f t="shared" si="61"/>
        <v>-104.42391910183613</v>
      </c>
      <c r="CC311" s="18"/>
      <c r="CD311" s="18"/>
      <c r="CE311" s="18"/>
    </row>
    <row r="312" spans="1:83" x14ac:dyDescent="0.15">
      <c r="A312" s="55"/>
      <c r="D312" s="18">
        <f t="shared" si="65"/>
        <v>80000</v>
      </c>
      <c r="E312" s="18">
        <f t="shared" si="51"/>
        <v>502654.82457436691</v>
      </c>
      <c r="F312" t="str">
        <f t="shared" si="52"/>
        <v>502654.824574367i</v>
      </c>
      <c r="G312" t="str">
        <f t="shared" si="53"/>
        <v>0.0677493170645442-0.0107074341905712i</v>
      </c>
      <c r="H312">
        <f t="shared" si="54"/>
        <v>-23.274755316989932</v>
      </c>
      <c r="I312">
        <f t="shared" si="55"/>
        <v>-8.9810209800720031</v>
      </c>
      <c r="K312" t="str">
        <f t="shared" si="50"/>
        <v>1.05935557228402-0.099412642979289i</v>
      </c>
      <c r="L312" t="str">
        <f t="shared" si="56"/>
        <v>-0.017213891088563-0.233217702328684i</v>
      </c>
      <c r="M312">
        <f t="shared" si="57"/>
        <v>-12.621173716932002</v>
      </c>
      <c r="N312">
        <f t="shared" si="58"/>
        <v>-94.221369340182605</v>
      </c>
      <c r="P312" t="str">
        <f t="shared" si="59"/>
        <v>-0.00363960361425323-0.015627787138352i</v>
      </c>
      <c r="Q312">
        <f t="shared" si="60"/>
        <v>-35.892658688028526</v>
      </c>
      <c r="R312">
        <f t="shared" si="61"/>
        <v>-103.11009821745151</v>
      </c>
      <c r="CC312" s="18"/>
      <c r="CD312" s="18"/>
      <c r="CE312" s="18"/>
    </row>
    <row r="313" spans="1:83" x14ac:dyDescent="0.15">
      <c r="A313" s="55">
        <f>B295*B296*B297*B298</f>
        <v>4.8804000000000006E-9</v>
      </c>
      <c r="D313" s="18">
        <f t="shared" si="65"/>
        <v>90000</v>
      </c>
      <c r="E313" s="18">
        <f t="shared" si="51"/>
        <v>565486.6776461628</v>
      </c>
      <c r="F313" t="str">
        <f t="shared" si="52"/>
        <v>565486.677646163i</v>
      </c>
      <c r="G313" t="str">
        <f t="shared" si="53"/>
        <v>0.0677172764511619-0.00951812541472166i</v>
      </c>
      <c r="H313">
        <f t="shared" si="54"/>
        <v>-23.301046710653619</v>
      </c>
      <c r="I313">
        <f t="shared" si="55"/>
        <v>-8.0008984614638621</v>
      </c>
      <c r="K313" t="str">
        <f t="shared" si="50"/>
        <v>1.04969434044164-0.0935642808146241i</v>
      </c>
      <c r="L313" t="str">
        <f t="shared" si="56"/>
        <v>-0.014650884151275-0.205371476186852i</v>
      </c>
      <c r="M313">
        <f t="shared" si="57"/>
        <v>-13.727151546927111</v>
      </c>
      <c r="N313">
        <f t="shared" si="58"/>
        <v>-94.080479759773922</v>
      </c>
      <c r="P313" t="str">
        <f t="shared" si="59"/>
        <v>-0.00292820244380701-0.0137760909521255i</v>
      </c>
      <c r="Q313">
        <f t="shared" si="60"/>
        <v>-37.025567349479346</v>
      </c>
      <c r="R313">
        <f t="shared" si="61"/>
        <v>-102.00001558993479</v>
      </c>
      <c r="CC313" s="18"/>
      <c r="CD313" s="18"/>
      <c r="CE313" s="18"/>
    </row>
    <row r="314" spans="1:83" x14ac:dyDescent="0.15">
      <c r="A314" s="55">
        <f>B295*(B297+B298)</f>
        <v>1.4846999999999998E-3</v>
      </c>
      <c r="D314" s="18">
        <f t="shared" si="65"/>
        <v>100000</v>
      </c>
      <c r="E314" s="18">
        <f t="shared" si="51"/>
        <v>628318.53071795858</v>
      </c>
      <c r="F314" t="str">
        <f t="shared" si="52"/>
        <v>628318.530717959i</v>
      </c>
      <c r="G314" t="str">
        <f t="shared" si="53"/>
        <v>0.0676943563113395-0.00856657434725978i</v>
      </c>
      <c r="H314">
        <f t="shared" si="54"/>
        <v>-23.319952299923461</v>
      </c>
      <c r="I314">
        <f t="shared" si="55"/>
        <v>-7.2123197823470928</v>
      </c>
      <c r="K314" t="str">
        <f t="shared" si="50"/>
        <v>1.0420455058562-0.0879112362617728i</v>
      </c>
      <c r="L314" t="str">
        <f t="shared" si="56"/>
        <v>-0.0125404430297962-0.183455601917309i</v>
      </c>
      <c r="M314">
        <f t="shared" si="57"/>
        <v>-14.70913462295027</v>
      </c>
      <c r="N314">
        <f t="shared" si="58"/>
        <v>-93.910474549974822</v>
      </c>
      <c r="P314" t="str">
        <f t="shared" si="59"/>
        <v>-0.0024054669585742-0.0123176081374502i</v>
      </c>
      <c r="Q314">
        <f t="shared" si="60"/>
        <v>-38.026925812009715</v>
      </c>
      <c r="R314">
        <f t="shared" si="61"/>
        <v>-101.05004168043604</v>
      </c>
      <c r="CC314" s="18"/>
      <c r="CD314" s="18"/>
      <c r="CE314" s="18"/>
    </row>
    <row r="315" spans="1:83" x14ac:dyDescent="0.15">
      <c r="A315" s="55">
        <v>0</v>
      </c>
      <c r="D315" s="18"/>
      <c r="E315" s="18"/>
      <c r="CC315" s="18"/>
      <c r="CD315" s="18"/>
      <c r="CE315" s="18"/>
    </row>
    <row r="316" spans="1:83" x14ac:dyDescent="0.15">
      <c r="D316" s="18"/>
      <c r="E316" s="18"/>
      <c r="CC316" s="18"/>
      <c r="CD316" s="18"/>
      <c r="CE316" s="18"/>
    </row>
    <row r="317" spans="1:83" x14ac:dyDescent="0.15">
      <c r="A317" t="s">
        <v>513</v>
      </c>
      <c r="B317">
        <f>B294/(B294+B295)</f>
        <v>0.10311165344722392</v>
      </c>
      <c r="D317" s="18"/>
      <c r="E317" s="18"/>
      <c r="CC317" s="18"/>
      <c r="CD317" s="18"/>
      <c r="CE317" s="18"/>
    </row>
    <row r="318" spans="1:83" x14ac:dyDescent="0.15">
      <c r="D318" s="18"/>
      <c r="E318" s="18"/>
      <c r="CC318" s="18"/>
      <c r="CD318" s="18"/>
      <c r="CE318" s="18"/>
    </row>
    <row r="319" spans="1:83" x14ac:dyDescent="0.15">
      <c r="D319" s="18"/>
      <c r="E319" s="18"/>
      <c r="CC319" s="18"/>
      <c r="CD319" s="18"/>
      <c r="CE319" s="18"/>
    </row>
    <row r="320" spans="1:83" x14ac:dyDescent="0.15">
      <c r="D320" s="18"/>
      <c r="E320" s="18"/>
      <c r="CC320" s="18"/>
      <c r="CD320" s="18"/>
      <c r="CE320" s="18"/>
    </row>
    <row r="321" spans="4:83" x14ac:dyDescent="0.15">
      <c r="D321" s="18"/>
      <c r="E321" s="18"/>
      <c r="CC321" s="18"/>
      <c r="CD321" s="18"/>
      <c r="CE321" s="18"/>
    </row>
    <row r="322" spans="4:83" x14ac:dyDescent="0.15">
      <c r="D322" s="18"/>
      <c r="E322" s="18"/>
      <c r="CC322" s="18"/>
      <c r="CD322" s="18"/>
      <c r="CE322" s="18"/>
    </row>
    <row r="323" spans="4:83" x14ac:dyDescent="0.15">
      <c r="D323" s="18"/>
      <c r="E323" s="18"/>
      <c r="CC323" s="18"/>
      <c r="CD323" s="18"/>
      <c r="CE323" s="18"/>
    </row>
    <row r="324" spans="4:83" x14ac:dyDescent="0.15">
      <c r="D324" s="18"/>
      <c r="E324" s="18"/>
      <c r="CC324" s="18"/>
      <c r="CD324" s="18"/>
      <c r="CE324" s="18"/>
    </row>
    <row r="325" spans="4:83" x14ac:dyDescent="0.15">
      <c r="D325" s="18"/>
      <c r="E325" s="18"/>
      <c r="CC325" s="18"/>
      <c r="CD325" s="18"/>
      <c r="CE325" s="18"/>
    </row>
    <row r="326" spans="4:83" x14ac:dyDescent="0.15">
      <c r="D326" s="18"/>
      <c r="E326" s="18"/>
      <c r="CC326" s="18"/>
      <c r="CD326" s="18"/>
      <c r="CE326" s="18"/>
    </row>
    <row r="327" spans="4:83" x14ac:dyDescent="0.15">
      <c r="D327" s="18"/>
      <c r="E327" s="18"/>
      <c r="CC327" s="18"/>
      <c r="CD327" s="18"/>
      <c r="CE327" s="18"/>
    </row>
    <row r="328" spans="4:83" x14ac:dyDescent="0.15">
      <c r="D328" s="18"/>
      <c r="E328" s="18"/>
      <c r="CC328" s="18"/>
      <c r="CD328" s="18"/>
      <c r="CE328" s="18"/>
    </row>
    <row r="329" spans="4:83" x14ac:dyDescent="0.15">
      <c r="D329" s="18"/>
      <c r="E329" s="18"/>
      <c r="CC329" s="18"/>
      <c r="CD329" s="18"/>
      <c r="CE329" s="18"/>
    </row>
    <row r="330" spans="4:83" x14ac:dyDescent="0.15">
      <c r="D330" s="18"/>
      <c r="E330" s="18"/>
      <c r="CC330" s="18"/>
      <c r="CD330" s="18"/>
      <c r="CE330" s="18"/>
    </row>
    <row r="331" spans="4:83" x14ac:dyDescent="0.15">
      <c r="D331" s="18"/>
      <c r="E331" s="18"/>
      <c r="CC331" s="18"/>
      <c r="CD331" s="18"/>
      <c r="CE331" s="18"/>
    </row>
    <row r="332" spans="4:83" x14ac:dyDescent="0.15">
      <c r="D332" s="18"/>
      <c r="E332" s="18"/>
      <c r="CC332" s="18"/>
      <c r="CD332" s="18"/>
      <c r="CE332" s="18"/>
    </row>
    <row r="333" spans="4:83" x14ac:dyDescent="0.15">
      <c r="D333" s="18"/>
      <c r="E333" s="18"/>
      <c r="CC333" s="18"/>
      <c r="CD333" s="18"/>
      <c r="CE333" s="18"/>
    </row>
    <row r="334" spans="4:83" x14ac:dyDescent="0.15">
      <c r="D334" s="18"/>
      <c r="E334" s="18"/>
      <c r="CC334" s="18"/>
      <c r="CD334" s="18"/>
      <c r="CE334" s="18"/>
    </row>
    <row r="335" spans="4:83" x14ac:dyDescent="0.15">
      <c r="D335" s="18"/>
      <c r="E335" s="18"/>
      <c r="CC335" s="18"/>
      <c r="CD335" s="18"/>
      <c r="CE335" s="18"/>
    </row>
    <row r="336" spans="4:83" x14ac:dyDescent="0.15">
      <c r="D336" s="18"/>
      <c r="E336" s="18"/>
      <c r="CC336" s="18"/>
      <c r="CD336" s="18"/>
      <c r="CE336" s="18"/>
    </row>
    <row r="337" spans="4:83" x14ac:dyDescent="0.15">
      <c r="D337" s="18"/>
      <c r="E337" s="18"/>
      <c r="CC337" s="18"/>
      <c r="CD337" s="18"/>
      <c r="CE337" s="18"/>
    </row>
    <row r="338" spans="4:83" x14ac:dyDescent="0.15">
      <c r="D338" s="18"/>
      <c r="E338" s="18"/>
      <c r="CC338" s="18"/>
      <c r="CD338" s="18"/>
      <c r="CE338" s="18"/>
    </row>
    <row r="339" spans="4:83" x14ac:dyDescent="0.15">
      <c r="D339" s="18"/>
      <c r="E339" s="18"/>
      <c r="CC339" s="18"/>
      <c r="CD339" s="18"/>
      <c r="CE339" s="18"/>
    </row>
    <row r="340" spans="4:83" x14ac:dyDescent="0.15">
      <c r="D340" s="18"/>
      <c r="E340" s="18"/>
      <c r="CC340" s="18"/>
      <c r="CD340" s="18"/>
      <c r="CE340" s="18"/>
    </row>
    <row r="341" spans="4:83" x14ac:dyDescent="0.15">
      <c r="D341" s="18"/>
      <c r="E341" s="18"/>
      <c r="CC341" s="18"/>
      <c r="CD341" s="18"/>
      <c r="CE341" s="18"/>
    </row>
    <row r="342" spans="4:83" x14ac:dyDescent="0.15">
      <c r="D342" s="18"/>
      <c r="E342" s="18"/>
      <c r="CC342" s="18"/>
      <c r="CD342" s="18"/>
      <c r="CE342" s="18"/>
    </row>
    <row r="343" spans="4:83" x14ac:dyDescent="0.15">
      <c r="D343" s="18"/>
      <c r="E343" s="18"/>
      <c r="CC343" s="18"/>
      <c r="CD343" s="18"/>
      <c r="CE343" s="18"/>
    </row>
    <row r="344" spans="4:83" x14ac:dyDescent="0.15">
      <c r="D344" s="18"/>
      <c r="E344" s="18"/>
      <c r="CC344" s="18"/>
      <c r="CD344" s="18"/>
      <c r="CE344" s="18"/>
    </row>
    <row r="345" spans="4:83" x14ac:dyDescent="0.15">
      <c r="D345" s="18"/>
      <c r="E345" s="18"/>
      <c r="CC345" s="18"/>
      <c r="CD345" s="18"/>
      <c r="CE345" s="18"/>
    </row>
    <row r="346" spans="4:83" x14ac:dyDescent="0.15">
      <c r="D346" s="18"/>
      <c r="E346" s="18"/>
      <c r="CC346" s="18"/>
      <c r="CD346" s="18"/>
      <c r="CE346" s="18"/>
    </row>
    <row r="347" spans="4:83" x14ac:dyDescent="0.15">
      <c r="D347" s="18"/>
      <c r="E347" s="18"/>
      <c r="CC347" s="18"/>
      <c r="CD347" s="18"/>
      <c r="CE347" s="18"/>
    </row>
    <row r="348" spans="4:83" x14ac:dyDescent="0.15">
      <c r="D348" s="18"/>
      <c r="E348" s="18"/>
      <c r="CC348" s="18"/>
      <c r="CD348" s="18"/>
      <c r="CE348" s="18"/>
    </row>
    <row r="349" spans="4:83" x14ac:dyDescent="0.15">
      <c r="D349" s="18"/>
      <c r="E349" s="18"/>
      <c r="CC349" s="18"/>
      <c r="CD349" s="18"/>
      <c r="CE349" s="18"/>
    </row>
    <row r="350" spans="4:83" x14ac:dyDescent="0.15">
      <c r="D350" s="18"/>
      <c r="E350" s="18"/>
      <c r="CC350" s="18"/>
      <c r="CD350" s="18"/>
      <c r="CE350" s="18"/>
    </row>
    <row r="351" spans="4:83" x14ac:dyDescent="0.15">
      <c r="D351" s="18"/>
      <c r="E351" s="18"/>
      <c r="CC351" s="18"/>
      <c r="CD351" s="18"/>
      <c r="CE351" s="18"/>
    </row>
    <row r="352" spans="4:83" x14ac:dyDescent="0.15">
      <c r="D352" s="18"/>
      <c r="E352" s="18"/>
      <c r="CC352" s="18"/>
      <c r="CD352" s="18"/>
      <c r="CE352" s="18"/>
    </row>
    <row r="353" spans="4:83" x14ac:dyDescent="0.15">
      <c r="D353" s="18"/>
      <c r="E353" s="18"/>
      <c r="CC353" s="18"/>
      <c r="CD353" s="18"/>
      <c r="CE353" s="18"/>
    </row>
    <row r="354" spans="4:83" x14ac:dyDescent="0.15">
      <c r="D354" s="18"/>
      <c r="E354" s="18"/>
      <c r="CC354" s="18"/>
      <c r="CD354" s="18"/>
      <c r="CE354" s="18"/>
    </row>
    <row r="355" spans="4:83" x14ac:dyDescent="0.15">
      <c r="D355" s="18"/>
      <c r="E355" s="18"/>
      <c r="CC355" s="18"/>
      <c r="CD355" s="18"/>
      <c r="CE355" s="18"/>
    </row>
    <row r="356" spans="4:83" x14ac:dyDescent="0.15">
      <c r="D356" s="18"/>
      <c r="E356" s="18"/>
      <c r="CC356" s="18"/>
      <c r="CD356" s="18"/>
      <c r="CE356" s="18"/>
    </row>
    <row r="357" spans="4:83" x14ac:dyDescent="0.15">
      <c r="D357" s="18"/>
      <c r="E357" s="18"/>
      <c r="CC357" s="18"/>
      <c r="CD357" s="18"/>
      <c r="CE357" s="18"/>
    </row>
    <row r="358" spans="4:83" x14ac:dyDescent="0.15">
      <c r="D358" s="18"/>
      <c r="E358" s="18"/>
      <c r="CC358" s="18"/>
      <c r="CD358" s="18"/>
      <c r="CE358" s="18"/>
    </row>
    <row r="359" spans="4:83" x14ac:dyDescent="0.15">
      <c r="D359" s="18"/>
      <c r="E359" s="18"/>
      <c r="CC359" s="18"/>
      <c r="CD359" s="18"/>
      <c r="CE359" s="18"/>
    </row>
    <row r="360" spans="4:83" x14ac:dyDescent="0.15">
      <c r="D360" s="18"/>
      <c r="E360" s="18"/>
      <c r="CC360" s="18"/>
      <c r="CD360" s="18"/>
      <c r="CE360" s="18"/>
    </row>
    <row r="361" spans="4:83" x14ac:dyDescent="0.15">
      <c r="D361" s="18"/>
      <c r="E361" s="18"/>
      <c r="CC361" s="18"/>
      <c r="CD361" s="18"/>
      <c r="CE361" s="18"/>
    </row>
    <row r="362" spans="4:83" x14ac:dyDescent="0.15">
      <c r="D362" s="18"/>
      <c r="E362" s="18"/>
      <c r="CC362" s="18"/>
      <c r="CD362" s="18"/>
      <c r="CE362" s="18"/>
    </row>
    <row r="363" spans="4:83" x14ac:dyDescent="0.15">
      <c r="D363" s="18"/>
      <c r="E363" s="18"/>
      <c r="CC363" s="18"/>
      <c r="CD363" s="18"/>
      <c r="CE363" s="18"/>
    </row>
    <row r="364" spans="4:83" x14ac:dyDescent="0.15">
      <c r="D364" s="18"/>
      <c r="E364" s="18"/>
      <c r="CC364" s="18"/>
      <c r="CD364" s="18"/>
      <c r="CE364" s="18"/>
    </row>
    <row r="365" spans="4:83" x14ac:dyDescent="0.15">
      <c r="D365" s="18"/>
      <c r="E365" s="18"/>
      <c r="CC365" s="18"/>
      <c r="CD365" s="18"/>
      <c r="CE365" s="18"/>
    </row>
    <row r="366" spans="4:83" x14ac:dyDescent="0.15">
      <c r="D366" s="18"/>
      <c r="E366" s="18"/>
      <c r="CC366" s="18"/>
      <c r="CD366" s="18"/>
      <c r="CE366" s="18"/>
    </row>
    <row r="367" spans="4:83" x14ac:dyDescent="0.15">
      <c r="D367" s="18"/>
      <c r="E367" s="18"/>
      <c r="CC367" s="18"/>
      <c r="CD367" s="18"/>
      <c r="CE367" s="18"/>
    </row>
    <row r="368" spans="4:83" x14ac:dyDescent="0.15">
      <c r="D368" s="18"/>
      <c r="E368" s="18"/>
      <c r="CC368" s="18"/>
      <c r="CD368" s="18"/>
      <c r="CE368" s="18"/>
    </row>
    <row r="369" spans="4:83" x14ac:dyDescent="0.15">
      <c r="D369" s="18"/>
      <c r="E369" s="18"/>
      <c r="CC369" s="18"/>
      <c r="CD369" s="18"/>
      <c r="CE369" s="18"/>
    </row>
    <row r="370" spans="4:83" x14ac:dyDescent="0.15">
      <c r="D370" s="18"/>
      <c r="E370" s="18"/>
      <c r="CC370" s="18"/>
      <c r="CD370" s="18"/>
      <c r="CE370" s="18"/>
    </row>
    <row r="371" spans="4:83" x14ac:dyDescent="0.15">
      <c r="D371" s="18"/>
      <c r="E371" s="18"/>
      <c r="CC371" s="18"/>
      <c r="CD371" s="18"/>
      <c r="CE371" s="18"/>
    </row>
    <row r="372" spans="4:83" x14ac:dyDescent="0.15">
      <c r="D372" s="18"/>
      <c r="E372" s="18"/>
      <c r="CC372" s="18"/>
      <c r="CD372" s="18"/>
      <c r="CE372" s="18"/>
    </row>
    <row r="373" spans="4:83" x14ac:dyDescent="0.15">
      <c r="D373" s="18"/>
      <c r="E373" s="18"/>
      <c r="CC373" s="18"/>
      <c r="CD373" s="18"/>
      <c r="CE373" s="18"/>
    </row>
    <row r="374" spans="4:83" x14ac:dyDescent="0.15">
      <c r="D374" s="18"/>
      <c r="E374" s="18"/>
      <c r="CC374" s="18"/>
      <c r="CD374" s="18"/>
      <c r="CE374" s="18"/>
    </row>
    <row r="375" spans="4:83" x14ac:dyDescent="0.15">
      <c r="D375" s="18"/>
      <c r="E375" s="18"/>
      <c r="CC375" s="18"/>
      <c r="CD375" s="18"/>
      <c r="CE375" s="18"/>
    </row>
    <row r="376" spans="4:83" x14ac:dyDescent="0.15">
      <c r="D376" s="18"/>
      <c r="E376" s="18"/>
      <c r="CC376" s="18"/>
      <c r="CD376" s="18"/>
      <c r="CE376" s="18"/>
    </row>
    <row r="377" spans="4:83" x14ac:dyDescent="0.15">
      <c r="D377" s="18"/>
      <c r="E377" s="18"/>
      <c r="CC377" s="18"/>
      <c r="CD377" s="18"/>
      <c r="CE377" s="18"/>
    </row>
    <row r="378" spans="4:83" x14ac:dyDescent="0.15">
      <c r="D378" s="18"/>
      <c r="E378" s="18"/>
      <c r="CC378" s="18"/>
      <c r="CD378" s="18"/>
      <c r="CE378" s="18"/>
    </row>
    <row r="379" spans="4:83" x14ac:dyDescent="0.15">
      <c r="D379" s="18"/>
      <c r="E379" s="18"/>
      <c r="CC379" s="18"/>
      <c r="CD379" s="18"/>
      <c r="CE379" s="18"/>
    </row>
    <row r="380" spans="4:83" x14ac:dyDescent="0.15">
      <c r="D380" s="18"/>
      <c r="E380" s="18"/>
      <c r="CC380" s="18"/>
      <c r="CD380" s="18"/>
      <c r="CE380" s="18"/>
    </row>
    <row r="381" spans="4:83" x14ac:dyDescent="0.15">
      <c r="D381" s="18"/>
      <c r="E381" s="18"/>
      <c r="CC381" s="18"/>
      <c r="CD381" s="18"/>
      <c r="CE381" s="18"/>
    </row>
    <row r="382" spans="4:83" x14ac:dyDescent="0.15">
      <c r="D382" s="18"/>
      <c r="E382" s="18"/>
      <c r="CC382" s="18"/>
      <c r="CD382" s="18"/>
      <c r="CE382" s="18"/>
    </row>
    <row r="383" spans="4:83" x14ac:dyDescent="0.15">
      <c r="D383" s="18"/>
      <c r="E383" s="18"/>
      <c r="CC383" s="18"/>
      <c r="CD383" s="18"/>
      <c r="CE383" s="18"/>
    </row>
    <row r="384" spans="4:83" x14ac:dyDescent="0.15">
      <c r="D384" s="18"/>
      <c r="E384" s="18"/>
      <c r="CC384" s="18"/>
      <c r="CD384" s="18"/>
      <c r="CE384" s="18"/>
    </row>
    <row r="385" spans="4:83" x14ac:dyDescent="0.15">
      <c r="D385" s="18"/>
      <c r="E385" s="18"/>
      <c r="CC385" s="18"/>
      <c r="CD385" s="18"/>
      <c r="CE385" s="18"/>
    </row>
    <row r="386" spans="4:83" x14ac:dyDescent="0.15">
      <c r="D386" s="18"/>
      <c r="E386" s="18"/>
      <c r="CC386" s="18"/>
      <c r="CD386" s="18"/>
      <c r="CE386" s="18"/>
    </row>
    <row r="387" spans="4:83" x14ac:dyDescent="0.15">
      <c r="D387" s="18"/>
      <c r="E387" s="18"/>
      <c r="CC387" s="18"/>
      <c r="CD387" s="18"/>
      <c r="CE387" s="18"/>
    </row>
    <row r="388" spans="4:83" x14ac:dyDescent="0.15">
      <c r="D388" s="18"/>
      <c r="E388" s="18"/>
      <c r="CC388" s="18"/>
      <c r="CD388" s="18"/>
      <c r="CE388" s="18"/>
    </row>
    <row r="389" spans="4:83" x14ac:dyDescent="0.15">
      <c r="D389" s="18"/>
      <c r="E389" s="18"/>
      <c r="CC389" s="18"/>
      <c r="CD389" s="18"/>
      <c r="CE389" s="18"/>
    </row>
    <row r="390" spans="4:83" x14ac:dyDescent="0.15">
      <c r="D390" s="18"/>
      <c r="E390" s="18"/>
      <c r="CC390" s="18"/>
      <c r="CD390" s="18"/>
      <c r="CE390" s="18"/>
    </row>
    <row r="391" spans="4:83" x14ac:dyDescent="0.15">
      <c r="D391" s="18"/>
      <c r="E391" s="18"/>
      <c r="CC391" s="18"/>
      <c r="CD391" s="18"/>
      <c r="CE391" s="18"/>
    </row>
    <row r="392" spans="4:83" x14ac:dyDescent="0.15">
      <c r="D392" s="18"/>
      <c r="E392" s="18"/>
      <c r="CC392" s="18"/>
      <c r="CD392" s="18"/>
      <c r="CE392" s="18"/>
    </row>
    <row r="393" spans="4:83" x14ac:dyDescent="0.15">
      <c r="D393" s="18"/>
      <c r="E393" s="18"/>
      <c r="CC393" s="18"/>
      <c r="CD393" s="18"/>
      <c r="CE393" s="18"/>
    </row>
    <row r="394" spans="4:83" x14ac:dyDescent="0.15">
      <c r="D394" s="18"/>
      <c r="E394" s="18"/>
      <c r="CC394" s="18"/>
      <c r="CD394" s="18"/>
      <c r="CE394" s="18"/>
    </row>
    <row r="395" spans="4:83" x14ac:dyDescent="0.15">
      <c r="D395" s="18"/>
      <c r="E395" s="18"/>
      <c r="CC395" s="18"/>
      <c r="CD395" s="18"/>
      <c r="CE395" s="18"/>
    </row>
    <row r="396" spans="4:83" x14ac:dyDescent="0.15">
      <c r="D396" s="18"/>
      <c r="E396" s="18"/>
      <c r="CC396" s="18"/>
      <c r="CD396" s="18"/>
      <c r="CE396" s="18"/>
    </row>
    <row r="397" spans="4:83" x14ac:dyDescent="0.15">
      <c r="D397" s="18"/>
      <c r="E397" s="18"/>
      <c r="CC397" s="18"/>
      <c r="CD397" s="18"/>
      <c r="CE397" s="18"/>
    </row>
    <row r="398" spans="4:83" x14ac:dyDescent="0.15">
      <c r="D398" s="18"/>
      <c r="E398" s="18"/>
      <c r="CC398" s="18"/>
      <c r="CD398" s="18"/>
      <c r="CE398" s="18"/>
    </row>
    <row r="399" spans="4:83" x14ac:dyDescent="0.15">
      <c r="D399" s="18"/>
      <c r="E399" s="18"/>
      <c r="CC399" s="18"/>
      <c r="CD399" s="18"/>
      <c r="CE399" s="18"/>
    </row>
    <row r="400" spans="4:83" x14ac:dyDescent="0.15">
      <c r="D400" s="18"/>
      <c r="E400" s="18"/>
      <c r="CC400" s="18"/>
      <c r="CD400" s="18"/>
      <c r="CE400" s="18"/>
    </row>
    <row r="401" spans="4:83" x14ac:dyDescent="0.15">
      <c r="D401" s="18"/>
      <c r="E401" s="18"/>
      <c r="CC401" s="18"/>
      <c r="CD401" s="18"/>
      <c r="CE401" s="18"/>
    </row>
    <row r="402" spans="4:83" x14ac:dyDescent="0.15">
      <c r="D402" s="18"/>
      <c r="E402" s="18"/>
      <c r="CC402" s="18"/>
      <c r="CD402" s="18"/>
      <c r="CE402" s="18"/>
    </row>
    <row r="403" spans="4:83" x14ac:dyDescent="0.15">
      <c r="D403" s="18"/>
      <c r="E403" s="18"/>
      <c r="CC403" s="18"/>
      <c r="CD403" s="18"/>
      <c r="CE403" s="18"/>
    </row>
    <row r="404" spans="4:83" x14ac:dyDescent="0.15">
      <c r="D404" s="18"/>
      <c r="E404" s="18"/>
      <c r="CC404" s="18"/>
      <c r="CD404" s="18"/>
      <c r="CE404" s="18"/>
    </row>
    <row r="405" spans="4:83" x14ac:dyDescent="0.15">
      <c r="D405" s="18"/>
      <c r="E405" s="18"/>
      <c r="CC405" s="18"/>
      <c r="CD405" s="18"/>
      <c r="CE405" s="18"/>
    </row>
    <row r="406" spans="4:83" x14ac:dyDescent="0.15">
      <c r="D406" s="18"/>
      <c r="E406" s="18"/>
      <c r="CC406" s="18"/>
      <c r="CD406" s="18"/>
      <c r="CE406" s="18"/>
    </row>
    <row r="407" spans="4:83" x14ac:dyDescent="0.15">
      <c r="D407" s="18"/>
      <c r="E407" s="18"/>
      <c r="CC407" s="18"/>
      <c r="CD407" s="18"/>
      <c r="CE407" s="18"/>
    </row>
    <row r="408" spans="4:83" x14ac:dyDescent="0.15">
      <c r="D408" s="18"/>
      <c r="E408" s="18"/>
      <c r="CC408" s="18"/>
      <c r="CD408" s="18"/>
      <c r="CE408" s="18"/>
    </row>
    <row r="409" spans="4:83" x14ac:dyDescent="0.15">
      <c r="D409" s="18"/>
      <c r="E409" s="18"/>
      <c r="CC409" s="18"/>
      <c r="CD409" s="18"/>
      <c r="CE409" s="18"/>
    </row>
    <row r="410" spans="4:83" x14ac:dyDescent="0.15">
      <c r="D410" s="18"/>
      <c r="E410" s="18"/>
      <c r="CC410" s="18"/>
      <c r="CD410" s="18"/>
      <c r="CE410" s="18"/>
    </row>
    <row r="411" spans="4:83" x14ac:dyDescent="0.15">
      <c r="D411" s="18"/>
      <c r="E411" s="18"/>
      <c r="CC411" s="18"/>
      <c r="CD411" s="18"/>
      <c r="CE411" s="18"/>
    </row>
    <row r="412" spans="4:83" x14ac:dyDescent="0.15">
      <c r="D412" s="18"/>
      <c r="E412" s="18"/>
      <c r="CC412" s="18"/>
      <c r="CD412" s="18"/>
      <c r="CE412" s="18"/>
    </row>
    <row r="413" spans="4:83" x14ac:dyDescent="0.15">
      <c r="D413" s="18"/>
      <c r="E413" s="18"/>
      <c r="CC413" s="18"/>
      <c r="CD413" s="18"/>
      <c r="CE413" s="18"/>
    </row>
    <row r="414" spans="4:83" x14ac:dyDescent="0.15">
      <c r="D414" s="18"/>
      <c r="E414" s="18"/>
      <c r="CC414" s="18"/>
      <c r="CD414" s="18"/>
      <c r="CE414" s="18"/>
    </row>
    <row r="415" spans="4:83" x14ac:dyDescent="0.15">
      <c r="D415" s="18"/>
      <c r="E415" s="18"/>
      <c r="CC415" s="18"/>
      <c r="CD415" s="18"/>
      <c r="CE415" s="18"/>
    </row>
    <row r="416" spans="4:83" x14ac:dyDescent="0.15">
      <c r="D416" s="18"/>
      <c r="E416" s="18"/>
      <c r="CC416" s="18"/>
      <c r="CD416" s="18"/>
      <c r="CE416" s="18"/>
    </row>
    <row r="417" spans="4:83" x14ac:dyDescent="0.15">
      <c r="D417" s="18"/>
      <c r="E417" s="18"/>
      <c r="CC417" s="18"/>
      <c r="CD417" s="18"/>
      <c r="CE417" s="18"/>
    </row>
    <row r="418" spans="4:83" x14ac:dyDescent="0.15">
      <c r="D418" s="18"/>
      <c r="E418" s="18"/>
      <c r="CC418" s="18"/>
      <c r="CD418" s="18"/>
      <c r="CE418" s="18"/>
    </row>
    <row r="419" spans="4:83" x14ac:dyDescent="0.15">
      <c r="D419" s="18"/>
      <c r="E419" s="18"/>
      <c r="CC419" s="18"/>
      <c r="CD419" s="18"/>
      <c r="CE419" s="18"/>
    </row>
    <row r="420" spans="4:83" x14ac:dyDescent="0.15">
      <c r="D420" s="18"/>
      <c r="E420" s="18"/>
      <c r="CC420" s="18"/>
      <c r="CD420" s="18"/>
      <c r="CE420" s="18"/>
    </row>
    <row r="421" spans="4:83" x14ac:dyDescent="0.15">
      <c r="D421" s="18"/>
      <c r="E421" s="18"/>
      <c r="CC421" s="18"/>
      <c r="CD421" s="18"/>
      <c r="CE421" s="18"/>
    </row>
    <row r="422" spans="4:83" x14ac:dyDescent="0.15">
      <c r="D422" s="18"/>
      <c r="E422" s="18"/>
      <c r="CC422" s="18"/>
      <c r="CD422" s="18"/>
      <c r="CE422" s="18"/>
    </row>
    <row r="423" spans="4:83" x14ac:dyDescent="0.15">
      <c r="D423" s="18"/>
      <c r="E423" s="18"/>
      <c r="CC423" s="18"/>
      <c r="CD423" s="18"/>
      <c r="CE423" s="18"/>
    </row>
    <row r="424" spans="4:83" x14ac:dyDescent="0.15">
      <c r="D424" s="18"/>
      <c r="E424" s="18"/>
      <c r="CC424" s="18"/>
      <c r="CD424" s="18"/>
      <c r="CE424" s="18"/>
    </row>
    <row r="425" spans="4:83" x14ac:dyDescent="0.15">
      <c r="D425" s="18"/>
      <c r="E425" s="18"/>
      <c r="CC425" s="18"/>
      <c r="CD425" s="18"/>
      <c r="CE425" s="18"/>
    </row>
    <row r="426" spans="4:83" x14ac:dyDescent="0.15">
      <c r="D426" s="18"/>
      <c r="E426" s="18"/>
      <c r="CC426" s="18"/>
      <c r="CD426" s="18"/>
      <c r="CE426" s="18"/>
    </row>
    <row r="427" spans="4:83" x14ac:dyDescent="0.15">
      <c r="D427" s="18"/>
      <c r="E427" s="18"/>
      <c r="CC427" s="18"/>
      <c r="CD427" s="18"/>
      <c r="CE427" s="18"/>
    </row>
    <row r="428" spans="4:83" x14ac:dyDescent="0.15">
      <c r="D428" s="18"/>
      <c r="E428" s="18"/>
      <c r="CC428" s="18"/>
      <c r="CD428" s="18"/>
      <c r="CE428" s="18"/>
    </row>
    <row r="429" spans="4:83" x14ac:dyDescent="0.15">
      <c r="D429" s="18"/>
      <c r="E429" s="18"/>
      <c r="CC429" s="18"/>
      <c r="CD429" s="18"/>
      <c r="CE429" s="18"/>
    </row>
    <row r="430" spans="4:83" x14ac:dyDescent="0.15">
      <c r="D430" s="18"/>
      <c r="E430" s="18"/>
      <c r="CC430" s="18"/>
      <c r="CD430" s="18"/>
      <c r="CE430" s="18"/>
    </row>
    <row r="431" spans="4:83" x14ac:dyDescent="0.15">
      <c r="D431" s="18"/>
      <c r="E431" s="18"/>
      <c r="CC431" s="18"/>
      <c r="CD431" s="18"/>
      <c r="CE431" s="18"/>
    </row>
    <row r="432" spans="4:83" x14ac:dyDescent="0.15">
      <c r="D432" s="18"/>
      <c r="E432" s="18"/>
      <c r="CC432" s="18"/>
      <c r="CD432" s="18"/>
      <c r="CE432" s="18"/>
    </row>
    <row r="433" spans="4:83" x14ac:dyDescent="0.15">
      <c r="D433" s="18"/>
      <c r="E433" s="18"/>
      <c r="CC433" s="18"/>
      <c r="CD433" s="18"/>
      <c r="CE433" s="18"/>
    </row>
    <row r="434" spans="4:83" x14ac:dyDescent="0.15">
      <c r="D434" s="18"/>
      <c r="E434" s="18"/>
      <c r="CC434" s="18"/>
      <c r="CD434" s="18"/>
      <c r="CE434" s="18"/>
    </row>
    <row r="435" spans="4:83" x14ac:dyDescent="0.15">
      <c r="D435" s="18"/>
      <c r="E435" s="18"/>
      <c r="CC435" s="18"/>
      <c r="CD435" s="18"/>
      <c r="CE435" s="18"/>
    </row>
    <row r="436" spans="4:83" x14ac:dyDescent="0.15">
      <c r="D436" s="18"/>
      <c r="E436" s="18"/>
      <c r="CC436" s="18"/>
      <c r="CD436" s="18"/>
      <c r="CE436" s="18"/>
    </row>
    <row r="437" spans="4:83" x14ac:dyDescent="0.15">
      <c r="D437" s="18"/>
      <c r="E437" s="18"/>
      <c r="CC437" s="18"/>
      <c r="CD437" s="18"/>
      <c r="CE437" s="18"/>
    </row>
    <row r="438" spans="4:83" x14ac:dyDescent="0.15">
      <c r="D438" s="18"/>
      <c r="E438" s="18"/>
      <c r="CC438" s="18"/>
      <c r="CD438" s="18"/>
      <c r="CE438" s="18"/>
    </row>
    <row r="439" spans="4:83" x14ac:dyDescent="0.15">
      <c r="D439" s="18"/>
      <c r="E439" s="18"/>
      <c r="CC439" s="18"/>
      <c r="CD439" s="18"/>
      <c r="CE439" s="18"/>
    </row>
    <row r="440" spans="4:83" x14ac:dyDescent="0.15">
      <c r="D440" s="18"/>
      <c r="E440" s="18"/>
      <c r="CC440" s="18"/>
      <c r="CD440" s="18"/>
      <c r="CE440" s="18"/>
    </row>
    <row r="441" spans="4:83" x14ac:dyDescent="0.15">
      <c r="D441" s="18"/>
      <c r="E441" s="18"/>
      <c r="CC441" s="18"/>
      <c r="CD441" s="18"/>
      <c r="CE441" s="18"/>
    </row>
    <row r="442" spans="4:83" x14ac:dyDescent="0.15">
      <c r="D442" s="18"/>
      <c r="E442" s="18"/>
      <c r="CC442" s="18"/>
      <c r="CD442" s="18"/>
      <c r="CE442" s="18"/>
    </row>
    <row r="443" spans="4:83" x14ac:dyDescent="0.15">
      <c r="D443" s="18"/>
      <c r="E443" s="18"/>
      <c r="CC443" s="18"/>
      <c r="CD443" s="18"/>
      <c r="CE443" s="18"/>
    </row>
    <row r="444" spans="4:83" x14ac:dyDescent="0.15">
      <c r="D444" s="18"/>
      <c r="E444" s="18"/>
      <c r="CC444" s="18"/>
      <c r="CD444" s="18"/>
      <c r="CE444" s="18"/>
    </row>
    <row r="445" spans="4:83" x14ac:dyDescent="0.15">
      <c r="D445" s="18"/>
      <c r="E445" s="18"/>
      <c r="CC445" s="18"/>
      <c r="CD445" s="18"/>
      <c r="CE445" s="18"/>
    </row>
    <row r="446" spans="4:83" x14ac:dyDescent="0.15">
      <c r="D446" s="18"/>
      <c r="E446" s="18"/>
      <c r="CC446" s="18"/>
      <c r="CD446" s="18"/>
      <c r="CE446" s="18"/>
    </row>
    <row r="447" spans="4:83" x14ac:dyDescent="0.15">
      <c r="D447" s="18"/>
      <c r="E447" s="18"/>
      <c r="CC447" s="18"/>
      <c r="CD447" s="18"/>
      <c r="CE447" s="18"/>
    </row>
    <row r="448" spans="4:83" x14ac:dyDescent="0.15">
      <c r="D448" s="18"/>
      <c r="E448" s="18"/>
      <c r="CC448" s="18"/>
      <c r="CD448" s="18"/>
      <c r="CE448" s="18"/>
    </row>
    <row r="449" spans="4:83" x14ac:dyDescent="0.15">
      <c r="D449" s="18"/>
      <c r="E449" s="18"/>
      <c r="CC449" s="18"/>
      <c r="CD449" s="18"/>
      <c r="CE449" s="18"/>
    </row>
    <row r="450" spans="4:83" x14ac:dyDescent="0.15">
      <c r="D450" s="18"/>
      <c r="E450" s="18"/>
      <c r="CC450" s="18"/>
      <c r="CD450" s="18"/>
      <c r="CE450" s="18"/>
    </row>
    <row r="451" spans="4:83" x14ac:dyDescent="0.15">
      <c r="D451" s="18"/>
      <c r="E451" s="18"/>
      <c r="CC451" s="18"/>
      <c r="CD451" s="18"/>
      <c r="CE451" s="18"/>
    </row>
    <row r="452" spans="4:83" x14ac:dyDescent="0.15">
      <c r="D452" s="18"/>
      <c r="E452" s="18"/>
      <c r="CC452" s="18"/>
      <c r="CD452" s="18"/>
      <c r="CE452" s="18"/>
    </row>
    <row r="453" spans="4:83" x14ac:dyDescent="0.15">
      <c r="D453" s="18"/>
      <c r="E453" s="18"/>
      <c r="CC453" s="18"/>
      <c r="CD453" s="18"/>
      <c r="CE453" s="18"/>
    </row>
    <row r="454" spans="4:83" x14ac:dyDescent="0.15">
      <c r="D454" s="18"/>
      <c r="E454" s="18"/>
      <c r="CC454" s="18"/>
      <c r="CD454" s="18"/>
      <c r="CE454" s="18"/>
    </row>
    <row r="455" spans="4:83" x14ac:dyDescent="0.15">
      <c r="D455" s="18"/>
      <c r="E455" s="18"/>
      <c r="CC455" s="18"/>
      <c r="CD455" s="18"/>
      <c r="CE455" s="18"/>
    </row>
    <row r="456" spans="4:83" x14ac:dyDescent="0.15">
      <c r="D456" s="18"/>
      <c r="E456" s="18"/>
      <c r="CC456" s="18"/>
      <c r="CD456" s="18"/>
      <c r="CE456" s="18"/>
    </row>
    <row r="457" spans="4:83" x14ac:dyDescent="0.15">
      <c r="D457" s="18"/>
      <c r="E457" s="18"/>
      <c r="CC457" s="18"/>
      <c r="CD457" s="18"/>
      <c r="CE457" s="18"/>
    </row>
    <row r="458" spans="4:83" x14ac:dyDescent="0.15">
      <c r="D458" s="18"/>
      <c r="E458" s="18"/>
      <c r="CC458" s="18"/>
      <c r="CD458" s="18"/>
      <c r="CE458" s="18"/>
    </row>
    <row r="459" spans="4:83" x14ac:dyDescent="0.15">
      <c r="D459" s="18"/>
      <c r="E459" s="18"/>
      <c r="CC459" s="18"/>
      <c r="CD459" s="18"/>
      <c r="CE459" s="18"/>
    </row>
    <row r="460" spans="4:83" x14ac:dyDescent="0.15">
      <c r="D460" s="18"/>
      <c r="E460" s="18"/>
      <c r="CC460" s="18"/>
      <c r="CD460" s="18"/>
      <c r="CE460" s="18"/>
    </row>
    <row r="461" spans="4:83" x14ac:dyDescent="0.15">
      <c r="D461" s="18"/>
      <c r="E461" s="18"/>
      <c r="CC461" s="18"/>
      <c r="CD461" s="18"/>
      <c r="CE461" s="18"/>
    </row>
    <row r="462" spans="4:83" x14ac:dyDescent="0.15">
      <c r="D462" s="18"/>
      <c r="E462" s="18"/>
      <c r="CC462" s="18"/>
      <c r="CD462" s="18"/>
      <c r="CE462" s="18"/>
    </row>
    <row r="463" spans="4:83" x14ac:dyDescent="0.15">
      <c r="D463" s="18"/>
      <c r="E463" s="18"/>
      <c r="CC463" s="18"/>
      <c r="CD463" s="18"/>
      <c r="CE463" s="18"/>
    </row>
    <row r="464" spans="4:83" x14ac:dyDescent="0.15">
      <c r="D464" s="18"/>
      <c r="E464" s="18"/>
      <c r="CC464" s="18"/>
      <c r="CD464" s="18"/>
      <c r="CE464" s="18"/>
    </row>
    <row r="465" spans="4:83" x14ac:dyDescent="0.15">
      <c r="D465" s="18"/>
      <c r="E465" s="18"/>
      <c r="CC465" s="18"/>
      <c r="CD465" s="18"/>
      <c r="CE465" s="18"/>
    </row>
    <row r="466" spans="4:83" x14ac:dyDescent="0.15">
      <c r="D466" s="18"/>
      <c r="E466" s="18"/>
      <c r="CC466" s="18"/>
      <c r="CD466" s="18"/>
      <c r="CE466" s="18"/>
    </row>
    <row r="467" spans="4:83" x14ac:dyDescent="0.15">
      <c r="D467" s="18"/>
      <c r="E467" s="18"/>
      <c r="CC467" s="18"/>
      <c r="CD467" s="18"/>
      <c r="CE467" s="18"/>
    </row>
    <row r="468" spans="4:83" x14ac:dyDescent="0.15">
      <c r="D468" s="18"/>
      <c r="E468" s="18"/>
      <c r="CC468" s="18"/>
      <c r="CD468" s="18"/>
      <c r="CE468" s="18"/>
    </row>
    <row r="469" spans="4:83" x14ac:dyDescent="0.15">
      <c r="D469" s="18"/>
      <c r="E469" s="18"/>
      <c r="CC469" s="18"/>
      <c r="CD469" s="18"/>
      <c r="CE469" s="18"/>
    </row>
    <row r="470" spans="4:83" x14ac:dyDescent="0.15">
      <c r="D470" s="18"/>
      <c r="E470" s="18"/>
      <c r="CC470" s="18"/>
      <c r="CD470" s="18"/>
      <c r="CE470" s="18"/>
    </row>
    <row r="471" spans="4:83" x14ac:dyDescent="0.15">
      <c r="D471" s="18"/>
      <c r="E471" s="18"/>
      <c r="CC471" s="18"/>
      <c r="CD471" s="18"/>
      <c r="CE471" s="18"/>
    </row>
    <row r="472" spans="4:83" x14ac:dyDescent="0.15">
      <c r="D472" s="18"/>
      <c r="E472" s="18"/>
      <c r="CC472" s="18"/>
      <c r="CD472" s="18"/>
      <c r="CE472" s="18"/>
    </row>
    <row r="473" spans="4:83" x14ac:dyDescent="0.15">
      <c r="D473" s="18"/>
      <c r="E473" s="18"/>
      <c r="CC473" s="18"/>
      <c r="CD473" s="18"/>
      <c r="CE473" s="18"/>
    </row>
    <row r="474" spans="4:83" x14ac:dyDescent="0.15">
      <c r="D474" s="18"/>
      <c r="E474" s="18"/>
      <c r="CC474" s="18"/>
      <c r="CD474" s="18"/>
      <c r="CE474" s="18"/>
    </row>
    <row r="475" spans="4:83" x14ac:dyDescent="0.15">
      <c r="D475" s="18"/>
      <c r="E475" s="18"/>
      <c r="CC475" s="18"/>
      <c r="CD475" s="18"/>
      <c r="CE475" s="18"/>
    </row>
    <row r="476" spans="4:83" x14ac:dyDescent="0.15">
      <c r="D476" s="18"/>
      <c r="E476" s="18"/>
      <c r="CC476" s="18"/>
      <c r="CD476" s="18"/>
      <c r="CE476" s="18"/>
    </row>
    <row r="477" spans="4:83" x14ac:dyDescent="0.15">
      <c r="D477" s="18"/>
      <c r="E477" s="18"/>
      <c r="CC477" s="18"/>
      <c r="CD477" s="18"/>
      <c r="CE477" s="18"/>
    </row>
    <row r="478" spans="4:83" x14ac:dyDescent="0.15">
      <c r="D478" s="18"/>
      <c r="E478" s="18"/>
      <c r="CC478" s="18"/>
      <c r="CD478" s="18"/>
      <c r="CE478" s="18"/>
    </row>
    <row r="479" spans="4:83" x14ac:dyDescent="0.15">
      <c r="D479" s="18"/>
      <c r="E479" s="18"/>
      <c r="CC479" s="18"/>
      <c r="CD479" s="18"/>
      <c r="CE479" s="18"/>
    </row>
    <row r="480" spans="4:83" x14ac:dyDescent="0.15">
      <c r="D480" s="18"/>
      <c r="E480" s="18"/>
      <c r="CC480" s="18"/>
      <c r="CD480" s="18"/>
      <c r="CE480" s="18"/>
    </row>
    <row r="481" spans="4:83" x14ac:dyDescent="0.15">
      <c r="D481" s="18"/>
      <c r="E481" s="18"/>
      <c r="CC481" s="18"/>
      <c r="CD481" s="18"/>
      <c r="CE481" s="18"/>
    </row>
    <row r="482" spans="4:83" x14ac:dyDescent="0.15">
      <c r="D482" s="18"/>
      <c r="E482" s="18"/>
      <c r="CC482" s="18"/>
      <c r="CD482" s="18"/>
      <c r="CE482" s="18"/>
    </row>
    <row r="483" spans="4:83" x14ac:dyDescent="0.15">
      <c r="D483" s="18"/>
      <c r="E483" s="18"/>
      <c r="CC483" s="18"/>
      <c r="CD483" s="18"/>
      <c r="CE483" s="18"/>
    </row>
    <row r="484" spans="4:83" x14ac:dyDescent="0.15">
      <c r="D484" s="18"/>
      <c r="E484" s="18"/>
      <c r="CC484" s="18"/>
      <c r="CD484" s="18"/>
      <c r="CE484" s="18"/>
    </row>
    <row r="485" spans="4:83" x14ac:dyDescent="0.15">
      <c r="D485" s="18"/>
      <c r="E485" s="18"/>
      <c r="CC485" s="18"/>
      <c r="CD485" s="18"/>
      <c r="CE485" s="18"/>
    </row>
    <row r="486" spans="4:83" x14ac:dyDescent="0.15">
      <c r="D486" s="18"/>
      <c r="E486" s="18"/>
      <c r="CC486" s="18"/>
      <c r="CD486" s="18"/>
      <c r="CE486" s="18"/>
    </row>
    <row r="487" spans="4:83" x14ac:dyDescent="0.15">
      <c r="D487" s="18"/>
      <c r="E487" s="18"/>
      <c r="CC487" s="18"/>
      <c r="CD487" s="18"/>
      <c r="CE487" s="18"/>
    </row>
    <row r="488" spans="4:83" x14ac:dyDescent="0.15">
      <c r="D488" s="18"/>
      <c r="E488" s="18"/>
      <c r="CC488" s="18"/>
      <c r="CD488" s="18"/>
      <c r="CE488" s="18"/>
    </row>
    <row r="489" spans="4:83" x14ac:dyDescent="0.15">
      <c r="D489" s="18"/>
      <c r="E489" s="18"/>
      <c r="CC489" s="18"/>
      <c r="CD489" s="18"/>
      <c r="CE489" s="18"/>
    </row>
    <row r="490" spans="4:83" x14ac:dyDescent="0.15">
      <c r="D490" s="18"/>
      <c r="E490" s="18"/>
      <c r="CC490" s="18"/>
      <c r="CD490" s="18"/>
      <c r="CE490" s="18"/>
    </row>
    <row r="491" spans="4:83" x14ac:dyDescent="0.15">
      <c r="D491" s="18"/>
      <c r="E491" s="18"/>
      <c r="CC491" s="18"/>
      <c r="CD491" s="18"/>
      <c r="CE491" s="18"/>
    </row>
    <row r="492" spans="4:83" x14ac:dyDescent="0.15">
      <c r="D492" s="18"/>
      <c r="E492" s="18"/>
      <c r="CC492" s="18"/>
      <c r="CD492" s="18"/>
      <c r="CE492" s="18"/>
    </row>
    <row r="493" spans="4:83" x14ac:dyDescent="0.15">
      <c r="D493" s="18"/>
      <c r="E493" s="18"/>
      <c r="CC493" s="18"/>
      <c r="CD493" s="18"/>
      <c r="CE493" s="18"/>
    </row>
    <row r="494" spans="4:83" x14ac:dyDescent="0.15">
      <c r="D494" s="18"/>
      <c r="E494" s="18"/>
      <c r="CC494" s="18"/>
      <c r="CD494" s="18"/>
      <c r="CE494" s="18"/>
    </row>
    <row r="495" spans="4:83" x14ac:dyDescent="0.15">
      <c r="D495" s="18"/>
      <c r="E495" s="18"/>
      <c r="CC495" s="18"/>
      <c r="CD495" s="18"/>
      <c r="CE495" s="18"/>
    </row>
    <row r="496" spans="4:83" x14ac:dyDescent="0.15">
      <c r="D496" s="18"/>
      <c r="E496" s="18"/>
      <c r="CC496" s="18"/>
      <c r="CD496" s="18"/>
      <c r="CE496" s="18"/>
    </row>
    <row r="497" spans="4:83" x14ac:dyDescent="0.15">
      <c r="D497" s="18"/>
      <c r="E497" s="18"/>
      <c r="CC497" s="18"/>
      <c r="CD497" s="18"/>
      <c r="CE497" s="18"/>
    </row>
    <row r="498" spans="4:83" x14ac:dyDescent="0.15">
      <c r="D498" s="18"/>
      <c r="E498" s="18"/>
      <c r="CC498" s="18"/>
      <c r="CD498" s="18"/>
      <c r="CE498" s="18"/>
    </row>
    <row r="499" spans="4:83" x14ac:dyDescent="0.15">
      <c r="D499" s="18"/>
      <c r="E499" s="18"/>
      <c r="CC499" s="18"/>
      <c r="CD499" s="18"/>
      <c r="CE499" s="18"/>
    </row>
    <row r="500" spans="4:83" x14ac:dyDescent="0.15">
      <c r="D500" s="18"/>
      <c r="E500" s="18"/>
      <c r="CC500" s="18"/>
      <c r="CD500" s="18"/>
      <c r="CE500" s="18"/>
    </row>
    <row r="501" spans="4:83" x14ac:dyDescent="0.15">
      <c r="D501" s="18"/>
      <c r="E501" s="18"/>
      <c r="CC501" s="18"/>
      <c r="CD501" s="18"/>
      <c r="CE501" s="18"/>
    </row>
    <row r="502" spans="4:83" x14ac:dyDescent="0.15">
      <c r="D502" s="18"/>
      <c r="E502" s="18"/>
      <c r="CC502" s="18"/>
      <c r="CD502" s="18"/>
      <c r="CE502" s="18"/>
    </row>
    <row r="503" spans="4:83" x14ac:dyDescent="0.15">
      <c r="D503" s="18"/>
      <c r="E503" s="18"/>
      <c r="CC503" s="18"/>
      <c r="CD503" s="18"/>
      <c r="CE503" s="18"/>
    </row>
    <row r="504" spans="4:83" x14ac:dyDescent="0.15">
      <c r="D504" s="18"/>
      <c r="E504" s="18"/>
      <c r="CC504" s="18"/>
      <c r="CD504" s="18"/>
      <c r="CE504" s="18"/>
    </row>
    <row r="505" spans="4:83" x14ac:dyDescent="0.15">
      <c r="D505" s="18"/>
      <c r="E505" s="18"/>
      <c r="CC505" s="18"/>
      <c r="CD505" s="18"/>
      <c r="CE505" s="18"/>
    </row>
    <row r="506" spans="4:83" x14ac:dyDescent="0.15">
      <c r="D506" s="18"/>
      <c r="E506" s="18"/>
      <c r="CC506" s="18"/>
      <c r="CD506" s="18"/>
      <c r="CE506" s="18"/>
    </row>
    <row r="507" spans="4:83" x14ac:dyDescent="0.15">
      <c r="D507" s="18"/>
      <c r="E507" s="18"/>
      <c r="CC507" s="18"/>
      <c r="CD507" s="18"/>
      <c r="CE507" s="18"/>
    </row>
    <row r="508" spans="4:83" x14ac:dyDescent="0.15">
      <c r="D508" s="18"/>
      <c r="E508" s="18"/>
      <c r="CC508" s="18"/>
      <c r="CD508" s="18"/>
      <c r="CE508" s="18"/>
    </row>
    <row r="509" spans="4:83" x14ac:dyDescent="0.15">
      <c r="D509" s="18"/>
      <c r="E509" s="18"/>
      <c r="CC509" s="18"/>
      <c r="CD509" s="18"/>
      <c r="CE509" s="18"/>
    </row>
    <row r="510" spans="4:83" x14ac:dyDescent="0.15">
      <c r="D510" s="18"/>
      <c r="E510" s="18"/>
      <c r="CC510" s="18"/>
      <c r="CD510" s="18"/>
      <c r="CE510" s="18"/>
    </row>
    <row r="511" spans="4:83" x14ac:dyDescent="0.15">
      <c r="D511" s="18"/>
      <c r="E511" s="18"/>
      <c r="CC511" s="18"/>
      <c r="CD511" s="18"/>
      <c r="CE511" s="18"/>
    </row>
    <row r="512" spans="4:83" x14ac:dyDescent="0.15">
      <c r="D512" s="18"/>
      <c r="E512" s="18"/>
      <c r="CC512" s="18"/>
      <c r="CD512" s="18"/>
      <c r="CE512" s="18"/>
    </row>
    <row r="513" spans="4:83" x14ac:dyDescent="0.15">
      <c r="D513" s="18"/>
      <c r="E513" s="18"/>
      <c r="CC513" s="18"/>
      <c r="CD513" s="18"/>
      <c r="CE513" s="18"/>
    </row>
    <row r="514" spans="4:83" x14ac:dyDescent="0.15">
      <c r="D514" s="18"/>
      <c r="E514" s="18"/>
      <c r="CC514" s="18"/>
      <c r="CD514" s="18"/>
      <c r="CE514" s="18"/>
    </row>
    <row r="515" spans="4:83" x14ac:dyDescent="0.15">
      <c r="D515" s="18"/>
      <c r="E515" s="18"/>
      <c r="CC515" s="18"/>
      <c r="CD515" s="18"/>
      <c r="CE515" s="18"/>
    </row>
    <row r="516" spans="4:83" x14ac:dyDescent="0.15">
      <c r="D516" s="18"/>
      <c r="E516" s="18"/>
      <c r="CC516" s="18"/>
      <c r="CD516" s="18"/>
      <c r="CE516" s="18"/>
    </row>
    <row r="517" spans="4:83" x14ac:dyDescent="0.15">
      <c r="D517" s="18"/>
      <c r="E517" s="18"/>
      <c r="CC517" s="18"/>
      <c r="CD517" s="18"/>
      <c r="CE517" s="18"/>
    </row>
    <row r="518" spans="4:83" x14ac:dyDescent="0.15">
      <c r="D518" s="18"/>
      <c r="E518" s="18"/>
      <c r="CC518" s="18"/>
      <c r="CD518" s="18"/>
      <c r="CE518" s="18"/>
    </row>
    <row r="519" spans="4:83" x14ac:dyDescent="0.15">
      <c r="D519" s="18"/>
      <c r="E519" s="18"/>
      <c r="CC519" s="18"/>
      <c r="CD519" s="18"/>
      <c r="CE519" s="18"/>
    </row>
    <row r="520" spans="4:83" x14ac:dyDescent="0.15">
      <c r="D520" s="18"/>
      <c r="E520" s="18"/>
      <c r="CC520" s="18"/>
      <c r="CD520" s="18"/>
      <c r="CE520" s="18"/>
    </row>
    <row r="521" spans="4:83" x14ac:dyDescent="0.15">
      <c r="D521" s="18"/>
      <c r="E521" s="18"/>
      <c r="CC521" s="18"/>
      <c r="CD521" s="18"/>
      <c r="CE521" s="18"/>
    </row>
    <row r="522" spans="4:83" x14ac:dyDescent="0.15">
      <c r="D522" s="18"/>
      <c r="E522" s="18"/>
      <c r="CC522" s="18"/>
      <c r="CD522" s="18"/>
      <c r="CE522" s="18"/>
    </row>
    <row r="523" spans="4:83" x14ac:dyDescent="0.15">
      <c r="D523" s="18"/>
      <c r="E523" s="18"/>
      <c r="CC523" s="18"/>
      <c r="CD523" s="18"/>
      <c r="CE523" s="18"/>
    </row>
    <row r="524" spans="4:83" x14ac:dyDescent="0.15">
      <c r="D524" s="18"/>
      <c r="E524" s="18"/>
      <c r="CC524" s="18"/>
      <c r="CD524" s="18"/>
      <c r="CE524" s="18"/>
    </row>
    <row r="525" spans="4:83" x14ac:dyDescent="0.15">
      <c r="D525" s="18"/>
      <c r="E525" s="18"/>
      <c r="CC525" s="18"/>
      <c r="CD525" s="18"/>
      <c r="CE525" s="18"/>
    </row>
    <row r="526" spans="4:83" x14ac:dyDescent="0.15">
      <c r="D526" s="18"/>
      <c r="E526" s="18"/>
      <c r="CC526" s="18"/>
      <c r="CD526" s="18"/>
      <c r="CE526" s="18"/>
    </row>
    <row r="527" spans="4:83" x14ac:dyDescent="0.15">
      <c r="D527" s="18"/>
      <c r="E527" s="18"/>
      <c r="CC527" s="18"/>
      <c r="CD527" s="18"/>
      <c r="CE527" s="18"/>
    </row>
    <row r="528" spans="4:83" x14ac:dyDescent="0.15">
      <c r="D528" s="18"/>
      <c r="E528" s="18"/>
      <c r="CC528" s="18"/>
      <c r="CD528" s="18"/>
      <c r="CE528" s="18"/>
    </row>
    <row r="529" spans="4:83" x14ac:dyDescent="0.15">
      <c r="D529" s="18"/>
      <c r="E529" s="18"/>
      <c r="CC529" s="18"/>
      <c r="CD529" s="18"/>
      <c r="CE529" s="18"/>
    </row>
    <row r="530" spans="4:83" x14ac:dyDescent="0.15">
      <c r="D530" s="18"/>
      <c r="E530" s="18"/>
      <c r="CC530" s="18"/>
      <c r="CD530" s="18"/>
      <c r="CE530" s="18"/>
    </row>
    <row r="531" spans="4:83" x14ac:dyDescent="0.15">
      <c r="D531" s="18"/>
      <c r="E531" s="18"/>
      <c r="CC531" s="18"/>
      <c r="CD531" s="18"/>
      <c r="CE531" s="18"/>
    </row>
    <row r="532" spans="4:83" x14ac:dyDescent="0.15">
      <c r="D532" s="18"/>
      <c r="E532" s="18"/>
      <c r="CC532" s="18"/>
      <c r="CD532" s="18"/>
      <c r="CE532" s="18"/>
    </row>
    <row r="533" spans="4:83" x14ac:dyDescent="0.15">
      <c r="D533" s="18"/>
      <c r="E533" s="18"/>
      <c r="CC533" s="18"/>
      <c r="CD533" s="18"/>
      <c r="CE533" s="18"/>
    </row>
    <row r="534" spans="4:83" x14ac:dyDescent="0.15">
      <c r="D534" s="18"/>
      <c r="E534" s="18"/>
      <c r="CC534" s="18"/>
      <c r="CD534" s="18"/>
      <c r="CE534" s="18"/>
    </row>
    <row r="535" spans="4:83" x14ac:dyDescent="0.15">
      <c r="D535" s="18"/>
      <c r="E535" s="18"/>
      <c r="CC535" s="18"/>
      <c r="CD535" s="18"/>
      <c r="CE535" s="18"/>
    </row>
    <row r="536" spans="4:83" x14ac:dyDescent="0.15">
      <c r="D536" s="18"/>
      <c r="E536" s="18"/>
      <c r="CC536" s="18"/>
      <c r="CD536" s="18"/>
      <c r="CE536" s="18"/>
    </row>
    <row r="537" spans="4:83" x14ac:dyDescent="0.15">
      <c r="D537" s="18"/>
      <c r="E537" s="18"/>
      <c r="CC537" s="18"/>
      <c r="CD537" s="18"/>
      <c r="CE537" s="18"/>
    </row>
    <row r="538" spans="4:83" x14ac:dyDescent="0.15">
      <c r="D538" s="18"/>
      <c r="E538" s="18"/>
      <c r="CC538" s="18"/>
      <c r="CD538" s="18"/>
      <c r="CE538" s="18"/>
    </row>
    <row r="539" spans="4:83" x14ac:dyDescent="0.15">
      <c r="D539" s="18"/>
      <c r="E539" s="18"/>
      <c r="CC539" s="18"/>
      <c r="CD539" s="18"/>
      <c r="CE539" s="18"/>
    </row>
    <row r="540" spans="4:83" x14ac:dyDescent="0.15">
      <c r="D540" s="18"/>
      <c r="E540" s="18"/>
      <c r="CC540" s="18"/>
      <c r="CD540" s="18"/>
      <c r="CE540" s="18"/>
    </row>
    <row r="541" spans="4:83" x14ac:dyDescent="0.15">
      <c r="D541" s="18"/>
      <c r="E541" s="18"/>
      <c r="CC541" s="18"/>
      <c r="CD541" s="18"/>
      <c r="CE541" s="18"/>
    </row>
    <row r="542" spans="4:83" x14ac:dyDescent="0.15">
      <c r="D542" s="18"/>
      <c r="E542" s="18"/>
      <c r="CC542" s="18"/>
      <c r="CD542" s="18"/>
      <c r="CE542" s="18"/>
    </row>
    <row r="543" spans="4:83" x14ac:dyDescent="0.15">
      <c r="D543" s="18"/>
      <c r="E543" s="18"/>
      <c r="CC543" s="18"/>
      <c r="CD543" s="18"/>
      <c r="CE543" s="18"/>
    </row>
    <row r="544" spans="4:83" x14ac:dyDescent="0.15">
      <c r="D544" s="18"/>
      <c r="E544" s="18"/>
      <c r="CC544" s="18"/>
      <c r="CD544" s="18"/>
      <c r="CE544" s="18"/>
    </row>
    <row r="545" spans="4:83" x14ac:dyDescent="0.15">
      <c r="D545" s="18"/>
      <c r="E545" s="18"/>
      <c r="CC545" s="18"/>
      <c r="CD545" s="18"/>
      <c r="CE545" s="18"/>
    </row>
    <row r="546" spans="4:83" x14ac:dyDescent="0.15">
      <c r="D546" s="18"/>
      <c r="E546" s="18"/>
      <c r="CC546" s="18"/>
      <c r="CD546" s="18"/>
      <c r="CE546" s="18"/>
    </row>
    <row r="547" spans="4:83" x14ac:dyDescent="0.15">
      <c r="D547" s="18"/>
      <c r="E547" s="18"/>
      <c r="CC547" s="18"/>
      <c r="CD547" s="18"/>
      <c r="CE547" s="18"/>
    </row>
    <row r="548" spans="4:83" x14ac:dyDescent="0.15">
      <c r="D548" s="18"/>
      <c r="E548" s="18"/>
      <c r="CC548" s="18"/>
      <c r="CD548" s="18"/>
      <c r="CE548" s="18"/>
    </row>
    <row r="549" spans="4:83" x14ac:dyDescent="0.15">
      <c r="D549" s="18"/>
      <c r="E549" s="18"/>
      <c r="CC549" s="18"/>
      <c r="CD549" s="18"/>
      <c r="CE549" s="18"/>
    </row>
    <row r="550" spans="4:83" x14ac:dyDescent="0.15">
      <c r="D550" s="18"/>
      <c r="E550" s="18"/>
      <c r="CC550" s="18"/>
      <c r="CD550" s="18"/>
      <c r="CE550" s="18"/>
    </row>
    <row r="551" spans="4:83" x14ac:dyDescent="0.15">
      <c r="D551" s="18"/>
      <c r="E551" s="18"/>
      <c r="CC551" s="18"/>
      <c r="CD551" s="18"/>
      <c r="CE551" s="18"/>
    </row>
    <row r="552" spans="4:83" x14ac:dyDescent="0.15">
      <c r="D552" s="18"/>
      <c r="E552" s="18"/>
      <c r="CC552" s="18"/>
      <c r="CD552" s="18"/>
      <c r="CE552" s="18"/>
    </row>
    <row r="553" spans="4:83" x14ac:dyDescent="0.15">
      <c r="D553" s="18"/>
      <c r="E553" s="18"/>
      <c r="CC553" s="18"/>
      <c r="CD553" s="18"/>
      <c r="CE553" s="18"/>
    </row>
    <row r="554" spans="4:83" x14ac:dyDescent="0.15">
      <c r="D554" s="18"/>
      <c r="E554" s="18"/>
      <c r="CC554" s="18"/>
      <c r="CD554" s="18"/>
      <c r="CE554" s="18"/>
    </row>
    <row r="555" spans="4:83" x14ac:dyDescent="0.15">
      <c r="D555" s="18"/>
      <c r="E555" s="18"/>
      <c r="CC555" s="18"/>
      <c r="CD555" s="18"/>
      <c r="CE555" s="18"/>
    </row>
    <row r="556" spans="4:83" x14ac:dyDescent="0.15">
      <c r="D556" s="18"/>
      <c r="E556" s="18"/>
      <c r="CC556" s="18"/>
      <c r="CD556" s="18"/>
      <c r="CE556" s="18"/>
    </row>
    <row r="557" spans="4:83" x14ac:dyDescent="0.15">
      <c r="D557" s="18"/>
      <c r="E557" s="18"/>
      <c r="CC557" s="18"/>
      <c r="CD557" s="18"/>
      <c r="CE557" s="18"/>
    </row>
    <row r="558" spans="4:83" x14ac:dyDescent="0.15">
      <c r="D558" s="18"/>
      <c r="E558" s="18"/>
      <c r="CC558" s="18"/>
      <c r="CD558" s="18"/>
      <c r="CE558" s="18"/>
    </row>
    <row r="559" spans="4:83" x14ac:dyDescent="0.15">
      <c r="D559" s="18"/>
      <c r="E559" s="18"/>
      <c r="CC559" s="18"/>
      <c r="CD559" s="18"/>
      <c r="CE559" s="18"/>
    </row>
    <row r="560" spans="4:83" x14ac:dyDescent="0.15">
      <c r="D560" s="18"/>
      <c r="E560" s="18"/>
      <c r="CC560" s="18"/>
      <c r="CD560" s="18"/>
      <c r="CE560" s="18"/>
    </row>
    <row r="561" spans="4:83" x14ac:dyDescent="0.15">
      <c r="D561" s="18"/>
      <c r="E561" s="18"/>
      <c r="CC561" s="18"/>
      <c r="CD561" s="18"/>
      <c r="CE561" s="18"/>
    </row>
    <row r="562" spans="4:83" x14ac:dyDescent="0.15">
      <c r="D562" s="18"/>
      <c r="E562" s="18"/>
      <c r="CC562" s="18"/>
      <c r="CD562" s="18"/>
      <c r="CE562" s="18"/>
    </row>
    <row r="563" spans="4:83" x14ac:dyDescent="0.15">
      <c r="D563" s="18"/>
      <c r="E563" s="18"/>
      <c r="CC563" s="18"/>
      <c r="CD563" s="18"/>
      <c r="CE563" s="18"/>
    </row>
    <row r="564" spans="4:83" x14ac:dyDescent="0.15">
      <c r="D564" s="18"/>
      <c r="E564" s="18"/>
      <c r="CC564" s="18"/>
      <c r="CD564" s="18"/>
      <c r="CE564" s="18"/>
    </row>
    <row r="565" spans="4:83" x14ac:dyDescent="0.15">
      <c r="D565" s="18"/>
      <c r="E565" s="18"/>
      <c r="CC565" s="18"/>
      <c r="CD565" s="18"/>
      <c r="CE565" s="18"/>
    </row>
    <row r="566" spans="4:83" x14ac:dyDescent="0.15">
      <c r="D566" s="18"/>
      <c r="E566" s="18"/>
      <c r="CC566" s="18"/>
      <c r="CD566" s="18"/>
      <c r="CE566" s="18"/>
    </row>
    <row r="567" spans="4:83" x14ac:dyDescent="0.15">
      <c r="D567" s="18"/>
      <c r="E567" s="18"/>
      <c r="CC567" s="18"/>
      <c r="CD567" s="18"/>
      <c r="CE567" s="18"/>
    </row>
    <row r="568" spans="4:83" x14ac:dyDescent="0.15">
      <c r="D568" s="18"/>
      <c r="E568" s="18"/>
      <c r="CC568" s="18"/>
      <c r="CD568" s="18"/>
      <c r="CE568" s="18"/>
    </row>
    <row r="569" spans="4:83" x14ac:dyDescent="0.15">
      <c r="D569" s="18"/>
      <c r="E569" s="18"/>
      <c r="CC569" s="18"/>
      <c r="CD569" s="18"/>
      <c r="CE569" s="18"/>
    </row>
    <row r="570" spans="4:83" x14ac:dyDescent="0.15">
      <c r="D570" s="18"/>
      <c r="E570" s="18"/>
      <c r="CC570" s="18"/>
      <c r="CD570" s="18"/>
      <c r="CE570" s="18"/>
    </row>
    <row r="571" spans="4:83" x14ac:dyDescent="0.15">
      <c r="D571" s="18"/>
      <c r="E571" s="18"/>
      <c r="CC571" s="18"/>
      <c r="CD571" s="18"/>
      <c r="CE571" s="18"/>
    </row>
    <row r="572" spans="4:83" x14ac:dyDescent="0.15">
      <c r="D572" s="18"/>
      <c r="E572" s="18"/>
      <c r="CC572" s="18"/>
      <c r="CD572" s="18"/>
      <c r="CE572" s="18"/>
    </row>
    <row r="573" spans="4:83" x14ac:dyDescent="0.15">
      <c r="D573" s="18"/>
      <c r="E573" s="18"/>
      <c r="CC573" s="18"/>
      <c r="CD573" s="18"/>
      <c r="CE573" s="18"/>
    </row>
    <row r="574" spans="4:83" x14ac:dyDescent="0.15">
      <c r="D574" s="18"/>
      <c r="E574" s="18"/>
      <c r="CC574" s="18"/>
      <c r="CD574" s="18"/>
      <c r="CE574" s="18"/>
    </row>
    <row r="575" spans="4:83" x14ac:dyDescent="0.15">
      <c r="D575" s="18"/>
      <c r="E575" s="18"/>
      <c r="CC575" s="18"/>
      <c r="CD575" s="18"/>
      <c r="CE575" s="18"/>
    </row>
    <row r="576" spans="4:83" x14ac:dyDescent="0.15">
      <c r="D576" s="18"/>
      <c r="E576" s="18"/>
      <c r="CC576" s="18"/>
      <c r="CD576" s="18"/>
      <c r="CE576" s="18"/>
    </row>
    <row r="577" spans="4:83" x14ac:dyDescent="0.15">
      <c r="D577" s="18"/>
      <c r="E577" s="18"/>
      <c r="CC577" s="18"/>
      <c r="CD577" s="18"/>
      <c r="CE577" s="18"/>
    </row>
    <row r="578" spans="4:83" x14ac:dyDescent="0.15">
      <c r="D578" s="18"/>
      <c r="E578" s="18"/>
      <c r="CC578" s="18"/>
      <c r="CD578" s="18"/>
      <c r="CE578" s="18"/>
    </row>
    <row r="579" spans="4:83" x14ac:dyDescent="0.15">
      <c r="D579" s="18"/>
      <c r="E579" s="18"/>
      <c r="CC579" s="18"/>
      <c r="CD579" s="18"/>
      <c r="CE579" s="18"/>
    </row>
    <row r="580" spans="4:83" x14ac:dyDescent="0.15">
      <c r="D580" s="18"/>
      <c r="E580" s="18"/>
      <c r="CC580" s="18"/>
      <c r="CD580" s="18"/>
      <c r="CE580" s="18"/>
    </row>
    <row r="581" spans="4:83" x14ac:dyDescent="0.15">
      <c r="D581" s="18"/>
      <c r="E581" s="18"/>
      <c r="CC581" s="18"/>
      <c r="CD581" s="18"/>
      <c r="CE581" s="18"/>
    </row>
    <row r="582" spans="4:83" x14ac:dyDescent="0.15">
      <c r="D582" s="18"/>
      <c r="E582" s="18"/>
      <c r="CC582" s="18"/>
      <c r="CD582" s="18"/>
      <c r="CE582" s="18"/>
    </row>
    <row r="583" spans="4:83" x14ac:dyDescent="0.15">
      <c r="D583" s="18"/>
      <c r="E583" s="18"/>
      <c r="CC583" s="18"/>
      <c r="CD583" s="18"/>
      <c r="CE583" s="18"/>
    </row>
    <row r="584" spans="4:83" x14ac:dyDescent="0.15">
      <c r="D584" s="18"/>
      <c r="E584" s="18"/>
      <c r="CC584" s="18"/>
      <c r="CD584" s="18"/>
      <c r="CE584" s="18"/>
    </row>
    <row r="585" spans="4:83" x14ac:dyDescent="0.15">
      <c r="D585" s="18"/>
      <c r="E585" s="18"/>
      <c r="CC585" s="18"/>
      <c r="CD585" s="18"/>
      <c r="CE585" s="18"/>
    </row>
    <row r="586" spans="4:83" x14ac:dyDescent="0.15">
      <c r="D586" s="18"/>
      <c r="E586" s="18"/>
      <c r="CC586" s="18"/>
      <c r="CD586" s="18"/>
      <c r="CE586" s="18"/>
    </row>
    <row r="587" spans="4:83" x14ac:dyDescent="0.15">
      <c r="D587" s="18"/>
      <c r="E587" s="18"/>
      <c r="CC587" s="18"/>
      <c r="CD587" s="18"/>
      <c r="CE587" s="18"/>
    </row>
    <row r="588" spans="4:83" x14ac:dyDescent="0.15">
      <c r="D588" s="18"/>
      <c r="E588" s="18"/>
      <c r="CC588" s="18"/>
      <c r="CD588" s="18"/>
      <c r="CE588" s="18"/>
    </row>
    <row r="589" spans="4:83" x14ac:dyDescent="0.15">
      <c r="D589" s="18"/>
      <c r="E589" s="18"/>
      <c r="CC589" s="18"/>
      <c r="CD589" s="18"/>
      <c r="CE589" s="18"/>
    </row>
    <row r="590" spans="4:83" x14ac:dyDescent="0.15">
      <c r="D590" s="18"/>
      <c r="E590" s="18"/>
      <c r="CC590" s="18"/>
      <c r="CD590" s="18"/>
      <c r="CE590" s="18"/>
    </row>
    <row r="591" spans="4:83" x14ac:dyDescent="0.15">
      <c r="D591" s="18"/>
      <c r="E591" s="18"/>
      <c r="CC591" s="18"/>
      <c r="CD591" s="18"/>
      <c r="CE591" s="18"/>
    </row>
    <row r="592" spans="4:83" x14ac:dyDescent="0.15">
      <c r="D592" s="18"/>
      <c r="E592" s="18"/>
      <c r="CC592" s="18"/>
      <c r="CD592" s="18"/>
      <c r="CE592" s="18"/>
    </row>
    <row r="593" spans="4:83" x14ac:dyDescent="0.15">
      <c r="D593" s="18"/>
      <c r="E593" s="18"/>
      <c r="CC593" s="18"/>
      <c r="CD593" s="18"/>
      <c r="CE593" s="18"/>
    </row>
    <row r="594" spans="4:83" x14ac:dyDescent="0.15">
      <c r="D594" s="18"/>
      <c r="E594" s="18"/>
      <c r="CC594" s="18"/>
      <c r="CD594" s="18"/>
      <c r="CE594" s="18"/>
    </row>
    <row r="595" spans="4:83" x14ac:dyDescent="0.15">
      <c r="D595" s="18"/>
      <c r="E595" s="18"/>
      <c r="CC595" s="18"/>
      <c r="CD595" s="18"/>
      <c r="CE595" s="18"/>
    </row>
    <row r="596" spans="4:83" x14ac:dyDescent="0.15">
      <c r="D596" s="18"/>
      <c r="E596" s="18"/>
      <c r="CC596" s="18"/>
      <c r="CD596" s="18"/>
      <c r="CE596" s="18"/>
    </row>
    <row r="597" spans="4:83" x14ac:dyDescent="0.15">
      <c r="D597" s="18"/>
      <c r="E597" s="18"/>
      <c r="CC597" s="18"/>
      <c r="CD597" s="18"/>
      <c r="CE597" s="18"/>
    </row>
    <row r="598" spans="4:83" x14ac:dyDescent="0.15">
      <c r="D598" s="18"/>
      <c r="E598" s="18"/>
      <c r="CC598" s="18"/>
      <c r="CD598" s="18"/>
      <c r="CE598" s="18"/>
    </row>
    <row r="599" spans="4:83" x14ac:dyDescent="0.15">
      <c r="D599" s="18"/>
      <c r="E599" s="18"/>
      <c r="CC599" s="18"/>
      <c r="CD599" s="18"/>
      <c r="CE599" s="18"/>
    </row>
    <row r="600" spans="4:83" x14ac:dyDescent="0.15">
      <c r="D600" s="18"/>
      <c r="E600" s="18"/>
      <c r="CC600" s="18"/>
      <c r="CD600" s="18"/>
      <c r="CE600" s="18"/>
    </row>
    <row r="601" spans="4:83" x14ac:dyDescent="0.15">
      <c r="D601" s="18"/>
      <c r="E601" s="18"/>
      <c r="CC601" s="18"/>
      <c r="CD601" s="18"/>
      <c r="CE601" s="18"/>
    </row>
    <row r="602" spans="4:83" x14ac:dyDescent="0.15">
      <c r="D602" s="18"/>
      <c r="E602" s="18"/>
      <c r="CC602" s="18"/>
      <c r="CD602" s="18"/>
      <c r="CE602" s="18"/>
    </row>
    <row r="603" spans="4:83" x14ac:dyDescent="0.15">
      <c r="D603" s="18"/>
      <c r="E603" s="18"/>
      <c r="CC603" s="18"/>
      <c r="CD603" s="18"/>
      <c r="CE603" s="18"/>
    </row>
    <row r="604" spans="4:83" x14ac:dyDescent="0.15">
      <c r="D604" s="18"/>
      <c r="E604" s="18"/>
      <c r="CC604" s="18"/>
      <c r="CD604" s="18"/>
      <c r="CE604" s="18"/>
    </row>
    <row r="605" spans="4:83" x14ac:dyDescent="0.15">
      <c r="D605" s="18"/>
      <c r="E605" s="18"/>
      <c r="CC605" s="18"/>
      <c r="CD605" s="18"/>
      <c r="CE605" s="18"/>
    </row>
    <row r="606" spans="4:83" x14ac:dyDescent="0.15">
      <c r="D606" s="18"/>
      <c r="E606" s="18"/>
      <c r="CC606" s="18"/>
      <c r="CD606" s="18"/>
      <c r="CE606" s="18"/>
    </row>
    <row r="607" spans="4:83" x14ac:dyDescent="0.15">
      <c r="D607" s="18"/>
      <c r="E607" s="18"/>
      <c r="CC607" s="18"/>
      <c r="CD607" s="18"/>
      <c r="CE607" s="18"/>
    </row>
    <row r="608" spans="4:83" x14ac:dyDescent="0.15">
      <c r="D608" s="18"/>
      <c r="E608" s="18"/>
      <c r="CC608" s="18"/>
      <c r="CD608" s="18"/>
      <c r="CE608" s="18"/>
    </row>
    <row r="609" spans="4:83" x14ac:dyDescent="0.15">
      <c r="D609" s="18"/>
      <c r="E609" s="18"/>
      <c r="CC609" s="18"/>
      <c r="CD609" s="18"/>
      <c r="CE609" s="18"/>
    </row>
    <row r="610" spans="4:83" x14ac:dyDescent="0.15">
      <c r="D610" s="18"/>
      <c r="E610" s="18"/>
      <c r="CC610" s="18"/>
      <c r="CD610" s="18"/>
      <c r="CE610" s="18"/>
    </row>
    <row r="611" spans="4:83" x14ac:dyDescent="0.15">
      <c r="D611" s="18"/>
      <c r="E611" s="18"/>
      <c r="CC611" s="18"/>
      <c r="CD611" s="18"/>
      <c r="CE611" s="18"/>
    </row>
    <row r="612" spans="4:83" x14ac:dyDescent="0.15">
      <c r="D612" s="18"/>
      <c r="E612" s="18"/>
      <c r="CC612" s="18"/>
      <c r="CD612" s="18"/>
      <c r="CE612" s="18"/>
    </row>
    <row r="613" spans="4:83" x14ac:dyDescent="0.15">
      <c r="D613" s="18"/>
      <c r="E613" s="18"/>
      <c r="CC613" s="18"/>
      <c r="CD613" s="18"/>
      <c r="CE613" s="18"/>
    </row>
    <row r="614" spans="4:83" x14ac:dyDescent="0.15">
      <c r="D614" s="18"/>
      <c r="E614" s="18"/>
      <c r="CC614" s="18"/>
      <c r="CD614" s="18"/>
      <c r="CE614" s="18"/>
    </row>
    <row r="615" spans="4:83" x14ac:dyDescent="0.15">
      <c r="D615" s="18"/>
      <c r="E615" s="18"/>
      <c r="CC615" s="18"/>
      <c r="CD615" s="18"/>
      <c r="CE615" s="18"/>
    </row>
    <row r="616" spans="4:83" x14ac:dyDescent="0.15">
      <c r="D616" s="18"/>
      <c r="E616" s="18"/>
      <c r="CC616" s="18"/>
      <c r="CD616" s="18"/>
      <c r="CE616" s="18"/>
    </row>
    <row r="617" spans="4:83" x14ac:dyDescent="0.15">
      <c r="D617" s="18"/>
      <c r="E617" s="18"/>
      <c r="CC617" s="18"/>
      <c r="CD617" s="18"/>
      <c r="CE617" s="18"/>
    </row>
    <row r="618" spans="4:83" x14ac:dyDescent="0.15">
      <c r="D618" s="18"/>
      <c r="E618" s="18"/>
      <c r="CC618" s="18"/>
      <c r="CD618" s="18"/>
      <c r="CE618" s="18"/>
    </row>
    <row r="619" spans="4:83" x14ac:dyDescent="0.15">
      <c r="D619" s="18"/>
      <c r="E619" s="18"/>
      <c r="CC619" s="18"/>
      <c r="CD619" s="18"/>
      <c r="CE619" s="18"/>
    </row>
    <row r="620" spans="4:83" x14ac:dyDescent="0.15">
      <c r="D620" s="18"/>
      <c r="E620" s="18"/>
      <c r="CC620" s="18"/>
      <c r="CD620" s="18"/>
      <c r="CE620" s="18"/>
    </row>
    <row r="621" spans="4:83" x14ac:dyDescent="0.15">
      <c r="D621" s="18"/>
      <c r="E621" s="18"/>
      <c r="CC621" s="18"/>
      <c r="CD621" s="18"/>
      <c r="CE621" s="18"/>
    </row>
    <row r="622" spans="4:83" x14ac:dyDescent="0.15">
      <c r="D622" s="18"/>
      <c r="E622" s="18"/>
      <c r="CC622" s="18"/>
      <c r="CD622" s="18"/>
      <c r="CE622" s="18"/>
    </row>
    <row r="623" spans="4:83" x14ac:dyDescent="0.15">
      <c r="D623" s="18"/>
      <c r="E623" s="18"/>
      <c r="CC623" s="18"/>
      <c r="CD623" s="18"/>
      <c r="CE623" s="18"/>
    </row>
    <row r="624" spans="4:83" x14ac:dyDescent="0.15">
      <c r="D624" s="18"/>
      <c r="E624" s="18"/>
      <c r="CC624" s="18"/>
      <c r="CD624" s="18"/>
      <c r="CE624" s="18"/>
    </row>
    <row r="625" spans="4:83" x14ac:dyDescent="0.15">
      <c r="D625" s="18"/>
      <c r="E625" s="18"/>
      <c r="CC625" s="18"/>
      <c r="CD625" s="18"/>
      <c r="CE625" s="18"/>
    </row>
    <row r="626" spans="4:83" x14ac:dyDescent="0.15">
      <c r="D626" s="18"/>
      <c r="E626" s="18"/>
      <c r="CC626" s="18"/>
      <c r="CD626" s="18"/>
      <c r="CE626" s="18"/>
    </row>
    <row r="627" spans="4:83" x14ac:dyDescent="0.15">
      <c r="D627" s="18"/>
      <c r="E627" s="18"/>
      <c r="CC627" s="18"/>
      <c r="CD627" s="18"/>
      <c r="CE627" s="18"/>
    </row>
    <row r="628" spans="4:83" x14ac:dyDescent="0.15">
      <c r="D628" s="18"/>
      <c r="E628" s="18"/>
      <c r="CC628" s="18"/>
      <c r="CD628" s="18"/>
      <c r="CE628" s="18"/>
    </row>
    <row r="629" spans="4:83" x14ac:dyDescent="0.15">
      <c r="D629" s="18"/>
      <c r="E629" s="18"/>
      <c r="CC629" s="18"/>
      <c r="CD629" s="18"/>
      <c r="CE629" s="18"/>
    </row>
    <row r="630" spans="4:83" x14ac:dyDescent="0.15">
      <c r="D630" s="18"/>
      <c r="E630" s="18"/>
      <c r="CC630" s="18"/>
      <c r="CD630" s="18"/>
      <c r="CE630" s="18"/>
    </row>
    <row r="631" spans="4:83" x14ac:dyDescent="0.15">
      <c r="D631" s="18"/>
      <c r="E631" s="18"/>
      <c r="CC631" s="18"/>
      <c r="CD631" s="18"/>
      <c r="CE631" s="18"/>
    </row>
    <row r="632" spans="4:83" x14ac:dyDescent="0.15">
      <c r="D632" s="18"/>
      <c r="E632" s="18"/>
      <c r="CC632" s="18"/>
      <c r="CD632" s="18"/>
      <c r="CE632" s="18"/>
    </row>
    <row r="633" spans="4:83" x14ac:dyDescent="0.15">
      <c r="D633" s="18"/>
      <c r="E633" s="18"/>
      <c r="CC633" s="18"/>
      <c r="CD633" s="18"/>
      <c r="CE633" s="18"/>
    </row>
    <row r="634" spans="4:83" x14ac:dyDescent="0.15">
      <c r="D634" s="18"/>
      <c r="E634" s="18"/>
      <c r="CC634" s="18"/>
      <c r="CD634" s="18"/>
      <c r="CE634" s="18"/>
    </row>
    <row r="635" spans="4:83" x14ac:dyDescent="0.15">
      <c r="D635" s="18"/>
      <c r="E635" s="18"/>
      <c r="CC635" s="18"/>
      <c r="CD635" s="18"/>
      <c r="CE635" s="18"/>
    </row>
    <row r="636" spans="4:83" x14ac:dyDescent="0.15">
      <c r="D636" s="18"/>
      <c r="E636" s="18"/>
      <c r="CC636" s="18"/>
      <c r="CD636" s="18"/>
      <c r="CE636" s="18"/>
    </row>
    <row r="637" spans="4:83" x14ac:dyDescent="0.15">
      <c r="D637" s="18"/>
      <c r="E637" s="18"/>
      <c r="CC637" s="18"/>
      <c r="CD637" s="18"/>
      <c r="CE637" s="18"/>
    </row>
    <row r="638" spans="4:83" x14ac:dyDescent="0.15">
      <c r="D638" s="18"/>
      <c r="E638" s="18"/>
      <c r="CC638" s="18"/>
      <c r="CD638" s="18"/>
      <c r="CE638" s="18"/>
    </row>
    <row r="639" spans="4:83" x14ac:dyDescent="0.15">
      <c r="D639" s="18"/>
      <c r="E639" s="18"/>
      <c r="CC639" s="18"/>
      <c r="CD639" s="18"/>
      <c r="CE639" s="18"/>
    </row>
    <row r="640" spans="4:83" x14ac:dyDescent="0.15">
      <c r="D640" s="18"/>
      <c r="E640" s="18"/>
      <c r="CC640" s="18"/>
      <c r="CD640" s="18"/>
      <c r="CE640" s="18"/>
    </row>
    <row r="641" spans="4:83" x14ac:dyDescent="0.15">
      <c r="D641" s="18"/>
      <c r="E641" s="18"/>
      <c r="CC641" s="18"/>
      <c r="CD641" s="18"/>
      <c r="CE641" s="18"/>
    </row>
    <row r="642" spans="4:83" x14ac:dyDescent="0.15">
      <c r="D642" s="18"/>
      <c r="E642" s="18"/>
      <c r="CC642" s="18"/>
      <c r="CD642" s="18"/>
      <c r="CE642" s="18"/>
    </row>
    <row r="643" spans="4:83" x14ac:dyDescent="0.15">
      <c r="D643" s="18"/>
      <c r="E643" s="18"/>
      <c r="CC643" s="18"/>
      <c r="CD643" s="18"/>
      <c r="CE643" s="18"/>
    </row>
    <row r="644" spans="4:83" x14ac:dyDescent="0.15">
      <c r="D644" s="18"/>
      <c r="E644" s="18"/>
      <c r="CC644" s="18"/>
      <c r="CD644" s="18"/>
      <c r="CE644" s="18"/>
    </row>
    <row r="645" spans="4:83" x14ac:dyDescent="0.15">
      <c r="D645" s="18"/>
      <c r="E645" s="18"/>
      <c r="CC645" s="18"/>
      <c r="CD645" s="18"/>
      <c r="CE645" s="18"/>
    </row>
    <row r="646" spans="4:83" x14ac:dyDescent="0.15">
      <c r="D646" s="18"/>
      <c r="E646" s="18"/>
      <c r="CC646" s="18"/>
      <c r="CD646" s="18"/>
      <c r="CE646" s="18"/>
    </row>
    <row r="647" spans="4:83" x14ac:dyDescent="0.15">
      <c r="D647" s="18"/>
      <c r="E647" s="18"/>
      <c r="CC647" s="18"/>
      <c r="CD647" s="18"/>
      <c r="CE647" s="18"/>
    </row>
    <row r="648" spans="4:83" x14ac:dyDescent="0.15">
      <c r="D648" s="18"/>
      <c r="E648" s="18"/>
      <c r="CC648" s="18"/>
      <c r="CD648" s="18"/>
      <c r="CE648" s="18"/>
    </row>
    <row r="649" spans="4:83" x14ac:dyDescent="0.15">
      <c r="D649" s="18"/>
      <c r="E649" s="18"/>
      <c r="CC649" s="18"/>
      <c r="CD649" s="18"/>
      <c r="CE649" s="18"/>
    </row>
    <row r="650" spans="4:83" x14ac:dyDescent="0.15">
      <c r="D650" s="18"/>
      <c r="E650" s="18"/>
      <c r="CC650" s="18"/>
      <c r="CD650" s="18"/>
      <c r="CE650" s="18"/>
    </row>
    <row r="651" spans="4:83" x14ac:dyDescent="0.15">
      <c r="D651" s="18"/>
      <c r="E651" s="18"/>
      <c r="CC651" s="18"/>
      <c r="CD651" s="18"/>
      <c r="CE651" s="18"/>
    </row>
    <row r="652" spans="4:83" x14ac:dyDescent="0.15">
      <c r="D652" s="18"/>
      <c r="E652" s="18"/>
      <c r="CC652" s="18"/>
      <c r="CD652" s="18"/>
      <c r="CE652" s="18"/>
    </row>
    <row r="653" spans="4:83" x14ac:dyDescent="0.15">
      <c r="D653" s="18"/>
      <c r="E653" s="18"/>
      <c r="CC653" s="18"/>
      <c r="CD653" s="18"/>
      <c r="CE653" s="18"/>
    </row>
    <row r="654" spans="4:83" x14ac:dyDescent="0.15">
      <c r="D654" s="18"/>
      <c r="E654" s="18"/>
      <c r="CC654" s="18"/>
      <c r="CD654" s="18"/>
      <c r="CE654" s="18"/>
    </row>
    <row r="655" spans="4:83" x14ac:dyDescent="0.15">
      <c r="D655" s="18"/>
      <c r="E655" s="18"/>
      <c r="CC655" s="18"/>
      <c r="CD655" s="18"/>
      <c r="CE655" s="18"/>
    </row>
    <row r="656" spans="4:83" x14ac:dyDescent="0.15">
      <c r="D656" s="18"/>
      <c r="E656" s="18"/>
      <c r="CC656" s="18"/>
      <c r="CD656" s="18"/>
      <c r="CE656" s="18"/>
    </row>
    <row r="657" spans="4:83" x14ac:dyDescent="0.15">
      <c r="D657" s="18"/>
      <c r="E657" s="18"/>
      <c r="CC657" s="18"/>
      <c r="CD657" s="18"/>
      <c r="CE657" s="18"/>
    </row>
    <row r="658" spans="4:83" x14ac:dyDescent="0.15">
      <c r="D658" s="18"/>
      <c r="E658" s="18"/>
      <c r="CC658" s="18"/>
      <c r="CD658" s="18"/>
      <c r="CE658" s="18"/>
    </row>
    <row r="659" spans="4:83" x14ac:dyDescent="0.15">
      <c r="D659" s="18"/>
      <c r="E659" s="18"/>
      <c r="CC659" s="18"/>
      <c r="CD659" s="18"/>
      <c r="CE659" s="18"/>
    </row>
    <row r="660" spans="4:83" x14ac:dyDescent="0.15">
      <c r="D660" s="18"/>
      <c r="E660" s="18"/>
      <c r="CC660" s="18"/>
      <c r="CD660" s="18"/>
      <c r="CE660" s="18"/>
    </row>
    <row r="661" spans="4:83" x14ac:dyDescent="0.15">
      <c r="D661" s="18"/>
      <c r="E661" s="18"/>
      <c r="CC661" s="18"/>
      <c r="CD661" s="18"/>
      <c r="CE661" s="18"/>
    </row>
    <row r="662" spans="4:83" x14ac:dyDescent="0.15">
      <c r="D662" s="18"/>
      <c r="E662" s="18"/>
      <c r="CC662" s="18"/>
      <c r="CD662" s="18"/>
      <c r="CE662" s="18"/>
    </row>
    <row r="663" spans="4:83" x14ac:dyDescent="0.15">
      <c r="D663" s="18"/>
      <c r="E663" s="18"/>
      <c r="CC663" s="18"/>
      <c r="CD663" s="18"/>
      <c r="CE663" s="18"/>
    </row>
    <row r="664" spans="4:83" x14ac:dyDescent="0.15">
      <c r="D664" s="18"/>
      <c r="E664" s="18"/>
      <c r="CC664" s="18"/>
      <c r="CD664" s="18"/>
      <c r="CE664" s="18"/>
    </row>
    <row r="665" spans="4:83" x14ac:dyDescent="0.15">
      <c r="D665" s="18"/>
      <c r="E665" s="18"/>
      <c r="CC665" s="18"/>
      <c r="CD665" s="18"/>
      <c r="CE665" s="18"/>
    </row>
    <row r="666" spans="4:83" x14ac:dyDescent="0.15">
      <c r="D666" s="18"/>
      <c r="E666" s="18"/>
      <c r="CC666" s="18"/>
      <c r="CD666" s="18"/>
      <c r="CE666" s="18"/>
    </row>
    <row r="667" spans="4:83" x14ac:dyDescent="0.15">
      <c r="D667" s="18"/>
      <c r="E667" s="18"/>
      <c r="CC667" s="18"/>
      <c r="CD667" s="18"/>
      <c r="CE667" s="18"/>
    </row>
    <row r="668" spans="4:83" x14ac:dyDescent="0.15">
      <c r="D668" s="18"/>
      <c r="E668" s="18"/>
      <c r="CC668" s="18"/>
      <c r="CD668" s="18"/>
      <c r="CE668" s="18"/>
    </row>
    <row r="669" spans="4:83" x14ac:dyDescent="0.15">
      <c r="D669" s="18"/>
      <c r="E669" s="18"/>
      <c r="CC669" s="18"/>
      <c r="CD669" s="18"/>
      <c r="CE669" s="18"/>
    </row>
    <row r="670" spans="4:83" x14ac:dyDescent="0.15">
      <c r="D670" s="18"/>
      <c r="E670" s="18"/>
      <c r="CC670" s="18"/>
      <c r="CD670" s="18"/>
      <c r="CE670" s="18"/>
    </row>
    <row r="671" spans="4:83" x14ac:dyDescent="0.15">
      <c r="D671" s="18"/>
      <c r="E671" s="18"/>
      <c r="CC671" s="18"/>
      <c r="CD671" s="18"/>
      <c r="CE671" s="18"/>
    </row>
    <row r="672" spans="4:83" x14ac:dyDescent="0.15">
      <c r="D672" s="18"/>
      <c r="E672" s="18"/>
      <c r="CC672" s="18"/>
      <c r="CD672" s="18"/>
      <c r="CE672" s="18"/>
    </row>
    <row r="673" spans="4:83" x14ac:dyDescent="0.15">
      <c r="D673" s="18"/>
      <c r="E673" s="18"/>
      <c r="CC673" s="18"/>
      <c r="CD673" s="18"/>
      <c r="CE673" s="18"/>
    </row>
    <row r="674" spans="4:83" x14ac:dyDescent="0.15">
      <c r="D674" s="18"/>
      <c r="E674" s="18"/>
      <c r="CC674" s="18"/>
      <c r="CD674" s="18"/>
      <c r="CE674" s="18"/>
    </row>
    <row r="675" spans="4:83" x14ac:dyDescent="0.15">
      <c r="D675" s="18"/>
      <c r="E675" s="18"/>
      <c r="CC675" s="18"/>
      <c r="CD675" s="18"/>
      <c r="CE675" s="18"/>
    </row>
    <row r="676" spans="4:83" x14ac:dyDescent="0.15">
      <c r="D676" s="18"/>
      <c r="E676" s="18"/>
      <c r="CC676" s="18"/>
      <c r="CD676" s="18"/>
      <c r="CE676" s="18"/>
    </row>
    <row r="677" spans="4:83" x14ac:dyDescent="0.15">
      <c r="D677" s="18"/>
      <c r="E677" s="18"/>
      <c r="CC677" s="18"/>
      <c r="CD677" s="18"/>
      <c r="CE677" s="18"/>
    </row>
    <row r="678" spans="4:83" x14ac:dyDescent="0.15">
      <c r="D678" s="18"/>
      <c r="E678" s="18"/>
      <c r="CC678" s="18"/>
      <c r="CD678" s="18"/>
      <c r="CE678" s="18"/>
    </row>
    <row r="679" spans="4:83" x14ac:dyDescent="0.15">
      <c r="D679" s="18"/>
      <c r="E679" s="18"/>
      <c r="CC679" s="18"/>
      <c r="CD679" s="18"/>
      <c r="CE679" s="18"/>
    </row>
    <row r="680" spans="4:83" x14ac:dyDescent="0.15">
      <c r="D680" s="18"/>
      <c r="E680" s="18"/>
      <c r="CC680" s="18"/>
      <c r="CD680" s="18"/>
      <c r="CE680" s="18"/>
    </row>
    <row r="681" spans="4:83" x14ac:dyDescent="0.15">
      <c r="D681" s="18"/>
      <c r="E681" s="18"/>
      <c r="CC681" s="18"/>
      <c r="CD681" s="18"/>
      <c r="CE681" s="18"/>
    </row>
    <row r="682" spans="4:83" x14ac:dyDescent="0.15">
      <c r="D682" s="18"/>
      <c r="E682" s="18"/>
      <c r="CC682" s="18"/>
      <c r="CD682" s="18"/>
      <c r="CE682" s="18"/>
    </row>
    <row r="683" spans="4:83" x14ac:dyDescent="0.15">
      <c r="D683" s="18"/>
      <c r="E683" s="18"/>
      <c r="CC683" s="18"/>
      <c r="CD683" s="18"/>
      <c r="CE683" s="18"/>
    </row>
    <row r="684" spans="4:83" x14ac:dyDescent="0.15">
      <c r="D684" s="18"/>
      <c r="E684" s="18"/>
      <c r="CC684" s="18"/>
      <c r="CD684" s="18"/>
      <c r="CE684" s="18"/>
    </row>
    <row r="685" spans="4:83" x14ac:dyDescent="0.15">
      <c r="D685" s="18"/>
      <c r="E685" s="18"/>
      <c r="CC685" s="18"/>
      <c r="CD685" s="18"/>
      <c r="CE685" s="18"/>
    </row>
    <row r="686" spans="4:83" x14ac:dyDescent="0.15">
      <c r="D686" s="18"/>
      <c r="E686" s="18"/>
      <c r="CC686" s="18"/>
      <c r="CD686" s="18"/>
      <c r="CE686" s="18"/>
    </row>
    <row r="687" spans="4:83" x14ac:dyDescent="0.15">
      <c r="D687" s="18"/>
      <c r="E687" s="18"/>
      <c r="CC687" s="18"/>
      <c r="CD687" s="18"/>
      <c r="CE687" s="18"/>
    </row>
    <row r="688" spans="4:83" x14ac:dyDescent="0.15">
      <c r="D688" s="18"/>
      <c r="E688" s="18"/>
      <c r="CC688" s="18"/>
      <c r="CD688" s="18"/>
      <c r="CE688" s="18"/>
    </row>
    <row r="689" spans="4:83" x14ac:dyDescent="0.15">
      <c r="D689" s="18"/>
      <c r="E689" s="18"/>
      <c r="CC689" s="18"/>
      <c r="CD689" s="18"/>
      <c r="CE689" s="18"/>
    </row>
    <row r="690" spans="4:83" x14ac:dyDescent="0.15">
      <c r="D690" s="18"/>
      <c r="E690" s="18"/>
      <c r="CC690" s="18"/>
      <c r="CD690" s="18"/>
      <c r="CE690" s="18"/>
    </row>
    <row r="691" spans="4:83" x14ac:dyDescent="0.15">
      <c r="D691" s="18"/>
      <c r="E691" s="18"/>
      <c r="CC691" s="18"/>
      <c r="CD691" s="18"/>
      <c r="CE691" s="18"/>
    </row>
    <row r="692" spans="4:83" x14ac:dyDescent="0.15">
      <c r="D692" s="18"/>
      <c r="E692" s="18"/>
      <c r="CC692" s="18"/>
      <c r="CD692" s="18"/>
      <c r="CE692" s="18"/>
    </row>
    <row r="693" spans="4:83" x14ac:dyDescent="0.15">
      <c r="D693" s="18"/>
      <c r="E693" s="18"/>
      <c r="CC693" s="18"/>
      <c r="CD693" s="18"/>
      <c r="CE693" s="18"/>
    </row>
    <row r="694" spans="4:83" x14ac:dyDescent="0.15">
      <c r="D694" s="18"/>
      <c r="E694" s="18"/>
      <c r="CC694" s="18"/>
      <c r="CD694" s="18"/>
      <c r="CE694" s="18"/>
    </row>
    <row r="695" spans="4:83" x14ac:dyDescent="0.15">
      <c r="D695" s="18"/>
      <c r="E695" s="18"/>
      <c r="CC695" s="18"/>
      <c r="CD695" s="18"/>
      <c r="CE695" s="18"/>
    </row>
    <row r="696" spans="4:83" x14ac:dyDescent="0.15">
      <c r="D696" s="18"/>
      <c r="E696" s="18"/>
      <c r="CC696" s="18"/>
      <c r="CD696" s="18"/>
      <c r="CE696" s="18"/>
    </row>
    <row r="697" spans="4:83" x14ac:dyDescent="0.15">
      <c r="D697" s="18"/>
      <c r="E697" s="18"/>
      <c r="CC697" s="18"/>
      <c r="CD697" s="18"/>
      <c r="CE697" s="18"/>
    </row>
    <row r="698" spans="4:83" x14ac:dyDescent="0.15">
      <c r="D698" s="18"/>
      <c r="E698" s="18"/>
      <c r="CC698" s="18"/>
      <c r="CD698" s="18"/>
      <c r="CE698" s="18"/>
    </row>
    <row r="699" spans="4:83" x14ac:dyDescent="0.15">
      <c r="D699" s="18"/>
      <c r="E699" s="18"/>
      <c r="CC699" s="18"/>
      <c r="CD699" s="18"/>
      <c r="CE699" s="18"/>
    </row>
    <row r="700" spans="4:83" x14ac:dyDescent="0.15">
      <c r="D700" s="18"/>
      <c r="E700" s="18"/>
      <c r="CC700" s="18"/>
      <c r="CD700" s="18"/>
      <c r="CE700" s="18"/>
    </row>
    <row r="701" spans="4:83" x14ac:dyDescent="0.15">
      <c r="D701" s="18"/>
      <c r="E701" s="18"/>
      <c r="CC701" s="18"/>
      <c r="CD701" s="18"/>
      <c r="CE701" s="18"/>
    </row>
    <row r="702" spans="4:83" x14ac:dyDescent="0.15">
      <c r="D702" s="18"/>
      <c r="E702" s="18"/>
      <c r="CC702" s="18"/>
      <c r="CD702" s="18"/>
      <c r="CE702" s="18"/>
    </row>
    <row r="703" spans="4:83" x14ac:dyDescent="0.15">
      <c r="D703" s="18"/>
      <c r="E703" s="18"/>
      <c r="CC703" s="18"/>
      <c r="CD703" s="18"/>
      <c r="CE703" s="18"/>
    </row>
    <row r="704" spans="4:83" x14ac:dyDescent="0.15">
      <c r="D704" s="18"/>
      <c r="E704" s="18"/>
      <c r="CC704" s="18"/>
      <c r="CD704" s="18"/>
      <c r="CE704" s="18"/>
    </row>
    <row r="705" spans="4:83" x14ac:dyDescent="0.15">
      <c r="D705" s="18"/>
      <c r="E705" s="18"/>
      <c r="CC705" s="18"/>
      <c r="CD705" s="18"/>
      <c r="CE705" s="18"/>
    </row>
    <row r="706" spans="4:83" x14ac:dyDescent="0.15">
      <c r="D706" s="18"/>
      <c r="E706" s="18"/>
      <c r="CC706" s="18"/>
      <c r="CD706" s="18"/>
      <c r="CE706" s="18"/>
    </row>
    <row r="707" spans="4:83" x14ac:dyDescent="0.15">
      <c r="D707" s="18"/>
      <c r="E707" s="18"/>
      <c r="CC707" s="18"/>
      <c r="CD707" s="18"/>
      <c r="CE707" s="18"/>
    </row>
    <row r="708" spans="4:83" x14ac:dyDescent="0.15">
      <c r="D708" s="18"/>
      <c r="E708" s="18"/>
      <c r="CC708" s="18"/>
      <c r="CD708" s="18"/>
      <c r="CE708" s="18"/>
    </row>
    <row r="709" spans="4:83" x14ac:dyDescent="0.15">
      <c r="D709" s="18"/>
      <c r="E709" s="18"/>
      <c r="CC709" s="18"/>
      <c r="CD709" s="18"/>
      <c r="CE709" s="18"/>
    </row>
    <row r="710" spans="4:83" x14ac:dyDescent="0.15">
      <c r="D710" s="18"/>
      <c r="E710" s="18"/>
      <c r="CC710" s="18"/>
      <c r="CD710" s="18"/>
      <c r="CE710" s="18"/>
    </row>
    <row r="711" spans="4:83" x14ac:dyDescent="0.15">
      <c r="D711" s="18"/>
      <c r="E711" s="18"/>
      <c r="CC711" s="18"/>
      <c r="CD711" s="18"/>
      <c r="CE711" s="18"/>
    </row>
    <row r="712" spans="4:83" x14ac:dyDescent="0.15">
      <c r="D712" s="18"/>
      <c r="E712" s="18"/>
      <c r="CC712" s="18"/>
      <c r="CD712" s="18"/>
      <c r="CE712" s="18"/>
    </row>
    <row r="713" spans="4:83" x14ac:dyDescent="0.15">
      <c r="D713" s="18"/>
      <c r="E713" s="18"/>
      <c r="CC713" s="18"/>
      <c r="CD713" s="18"/>
      <c r="CE713" s="18"/>
    </row>
    <row r="714" spans="4:83" x14ac:dyDescent="0.15">
      <c r="D714" s="18"/>
      <c r="E714" s="18"/>
      <c r="CC714" s="18"/>
      <c r="CD714" s="18"/>
      <c r="CE714" s="18"/>
    </row>
    <row r="715" spans="4:83" x14ac:dyDescent="0.15">
      <c r="D715" s="18"/>
      <c r="E715" s="18"/>
      <c r="CC715" s="18"/>
      <c r="CD715" s="18"/>
      <c r="CE715" s="18"/>
    </row>
    <row r="716" spans="4:83" x14ac:dyDescent="0.15">
      <c r="D716" s="18"/>
      <c r="E716" s="18"/>
      <c r="CC716" s="18"/>
      <c r="CD716" s="18"/>
      <c r="CE716" s="18"/>
    </row>
    <row r="717" spans="4:83" x14ac:dyDescent="0.15">
      <c r="D717" s="18"/>
      <c r="E717" s="18"/>
      <c r="CC717" s="18"/>
      <c r="CD717" s="18"/>
      <c r="CE717" s="18"/>
    </row>
    <row r="718" spans="4:83" x14ac:dyDescent="0.15">
      <c r="D718" s="18"/>
      <c r="E718" s="18"/>
      <c r="CC718" s="18"/>
      <c r="CD718" s="18"/>
      <c r="CE718" s="18"/>
    </row>
    <row r="719" spans="4:83" x14ac:dyDescent="0.15">
      <c r="D719" s="18"/>
      <c r="E719" s="18"/>
      <c r="CC719" s="18"/>
      <c r="CD719" s="18"/>
      <c r="CE719" s="18"/>
    </row>
    <row r="720" spans="4:83" x14ac:dyDescent="0.15">
      <c r="D720" s="18"/>
      <c r="E720" s="18"/>
      <c r="CC720" s="18"/>
      <c r="CD720" s="18"/>
      <c r="CE720" s="18"/>
    </row>
    <row r="721" spans="4:83" x14ac:dyDescent="0.15">
      <c r="D721" s="18"/>
      <c r="E721" s="18"/>
      <c r="CC721" s="18"/>
      <c r="CD721" s="18"/>
      <c r="CE721" s="18"/>
    </row>
    <row r="722" spans="4:83" x14ac:dyDescent="0.15">
      <c r="D722" s="18"/>
      <c r="E722" s="18"/>
      <c r="CC722" s="18"/>
      <c r="CD722" s="18"/>
      <c r="CE722" s="18"/>
    </row>
    <row r="723" spans="4:83" x14ac:dyDescent="0.15">
      <c r="D723" s="18"/>
      <c r="E723" s="18"/>
      <c r="CC723" s="18"/>
      <c r="CD723" s="18"/>
      <c r="CE723" s="18"/>
    </row>
    <row r="724" spans="4:83" x14ac:dyDescent="0.15">
      <c r="D724" s="18"/>
      <c r="E724" s="18"/>
      <c r="CC724" s="18"/>
      <c r="CD724" s="18"/>
      <c r="CE724" s="18"/>
    </row>
    <row r="725" spans="4:83" x14ac:dyDescent="0.15">
      <c r="D725" s="18"/>
      <c r="E725" s="18"/>
      <c r="CC725" s="18"/>
      <c r="CD725" s="18"/>
      <c r="CE725" s="18"/>
    </row>
    <row r="726" spans="4:83" x14ac:dyDescent="0.15">
      <c r="D726" s="18"/>
      <c r="E726" s="18"/>
      <c r="CC726" s="18"/>
      <c r="CD726" s="18"/>
      <c r="CE726" s="18"/>
    </row>
    <row r="727" spans="4:83" x14ac:dyDescent="0.15">
      <c r="D727" s="18"/>
      <c r="E727" s="18"/>
      <c r="CC727" s="18"/>
      <c r="CD727" s="18"/>
      <c r="CE727" s="18"/>
    </row>
    <row r="728" spans="4:83" x14ac:dyDescent="0.15">
      <c r="D728" s="18"/>
      <c r="E728" s="18"/>
      <c r="CC728" s="18"/>
      <c r="CD728" s="18"/>
      <c r="CE728" s="18"/>
    </row>
    <row r="729" spans="4:83" x14ac:dyDescent="0.15">
      <c r="D729" s="18"/>
      <c r="E729" s="18"/>
      <c r="CC729" s="18"/>
      <c r="CD729" s="18"/>
      <c r="CE729" s="18"/>
    </row>
    <row r="730" spans="4:83" x14ac:dyDescent="0.15">
      <c r="D730" s="18"/>
      <c r="E730" s="18"/>
      <c r="CC730" s="18"/>
      <c r="CD730" s="18"/>
      <c r="CE730" s="18"/>
    </row>
    <row r="731" spans="4:83" x14ac:dyDescent="0.15">
      <c r="D731" s="18"/>
      <c r="E731" s="18"/>
      <c r="CC731" s="18"/>
      <c r="CD731" s="18"/>
      <c r="CE731" s="18"/>
    </row>
    <row r="732" spans="4:83" x14ac:dyDescent="0.15">
      <c r="D732" s="18"/>
      <c r="E732" s="18"/>
      <c r="CC732" s="18"/>
      <c r="CD732" s="18"/>
      <c r="CE732" s="18"/>
    </row>
    <row r="733" spans="4:83" x14ac:dyDescent="0.15">
      <c r="D733" s="18"/>
      <c r="E733" s="18"/>
      <c r="CC733" s="18"/>
      <c r="CD733" s="18"/>
      <c r="CE733" s="18"/>
    </row>
    <row r="734" spans="4:83" x14ac:dyDescent="0.15">
      <c r="D734" s="18"/>
      <c r="E734" s="18"/>
      <c r="CC734" s="18"/>
      <c r="CD734" s="18"/>
      <c r="CE734" s="18"/>
    </row>
    <row r="735" spans="4:83" x14ac:dyDescent="0.15">
      <c r="D735" s="18"/>
      <c r="E735" s="18"/>
      <c r="CC735" s="18"/>
      <c r="CD735" s="18"/>
      <c r="CE735" s="18"/>
    </row>
    <row r="736" spans="4:83" x14ac:dyDescent="0.15">
      <c r="D736" s="18"/>
      <c r="E736" s="18"/>
      <c r="CC736" s="18"/>
      <c r="CD736" s="18"/>
      <c r="CE736" s="18"/>
    </row>
    <row r="737" spans="4:83" x14ac:dyDescent="0.15">
      <c r="D737" s="18"/>
      <c r="E737" s="18"/>
      <c r="CC737" s="18"/>
      <c r="CD737" s="18"/>
      <c r="CE737" s="18"/>
    </row>
    <row r="738" spans="4:83" x14ac:dyDescent="0.15">
      <c r="D738" s="18"/>
      <c r="E738" s="18"/>
      <c r="CC738" s="18"/>
      <c r="CD738" s="18"/>
      <c r="CE738" s="18"/>
    </row>
    <row r="739" spans="4:83" x14ac:dyDescent="0.15">
      <c r="D739" s="18"/>
      <c r="E739" s="18"/>
      <c r="CC739" s="18"/>
      <c r="CD739" s="18"/>
      <c r="CE739" s="18"/>
    </row>
    <row r="740" spans="4:83" x14ac:dyDescent="0.15">
      <c r="D740" s="18"/>
      <c r="E740" s="18"/>
      <c r="CC740" s="18"/>
      <c r="CD740" s="18"/>
      <c r="CE740" s="18"/>
    </row>
    <row r="741" spans="4:83" x14ac:dyDescent="0.15">
      <c r="D741" s="18"/>
      <c r="E741" s="18"/>
      <c r="CC741" s="18"/>
      <c r="CD741" s="18"/>
      <c r="CE741" s="18"/>
    </row>
    <row r="742" spans="4:83" x14ac:dyDescent="0.15">
      <c r="D742" s="18"/>
      <c r="E742" s="18"/>
      <c r="CC742" s="18"/>
      <c r="CD742" s="18"/>
      <c r="CE742" s="18"/>
    </row>
    <row r="743" spans="4:83" x14ac:dyDescent="0.15">
      <c r="D743" s="18"/>
      <c r="E743" s="18"/>
      <c r="CC743" s="18"/>
      <c r="CD743" s="18"/>
      <c r="CE743" s="18"/>
    </row>
    <row r="744" spans="4:83" x14ac:dyDescent="0.15">
      <c r="D744" s="18"/>
      <c r="E744" s="18"/>
      <c r="CC744" s="18"/>
      <c r="CD744" s="18"/>
      <c r="CE744" s="18"/>
    </row>
    <row r="745" spans="4:83" x14ac:dyDescent="0.15">
      <c r="D745" s="18"/>
      <c r="E745" s="18"/>
      <c r="CC745" s="18"/>
      <c r="CD745" s="18"/>
      <c r="CE745" s="18"/>
    </row>
    <row r="746" spans="4:83" x14ac:dyDescent="0.15">
      <c r="D746" s="18"/>
      <c r="E746" s="18"/>
      <c r="CC746" s="18"/>
      <c r="CD746" s="18"/>
      <c r="CE746" s="18"/>
    </row>
    <row r="747" spans="4:83" x14ac:dyDescent="0.15">
      <c r="D747" s="18"/>
      <c r="E747" s="18"/>
      <c r="CC747" s="18"/>
      <c r="CD747" s="18"/>
      <c r="CE747" s="18"/>
    </row>
    <row r="748" spans="4:83" x14ac:dyDescent="0.15">
      <c r="D748" s="18"/>
      <c r="E748" s="18"/>
      <c r="CC748" s="18"/>
      <c r="CD748" s="18"/>
      <c r="CE748" s="18"/>
    </row>
    <row r="749" spans="4:83" x14ac:dyDescent="0.15">
      <c r="D749" s="18"/>
      <c r="E749" s="18"/>
      <c r="CC749" s="18"/>
      <c r="CD749" s="18"/>
      <c r="CE749" s="18"/>
    </row>
    <row r="750" spans="4:83" x14ac:dyDescent="0.15">
      <c r="D750" s="18"/>
      <c r="E750" s="18"/>
      <c r="CC750" s="18"/>
      <c r="CD750" s="18"/>
      <c r="CE750" s="18"/>
    </row>
    <row r="751" spans="4:83" x14ac:dyDescent="0.15">
      <c r="D751" s="18"/>
      <c r="E751" s="18"/>
      <c r="CC751" s="18"/>
      <c r="CD751" s="18"/>
      <c r="CE751" s="18"/>
    </row>
    <row r="752" spans="4:83" x14ac:dyDescent="0.15">
      <c r="D752" s="18"/>
      <c r="E752" s="18"/>
      <c r="CC752" s="18"/>
      <c r="CD752" s="18"/>
      <c r="CE752" s="18"/>
    </row>
    <row r="753" spans="4:83" x14ac:dyDescent="0.15">
      <c r="D753" s="18"/>
      <c r="E753" s="18"/>
      <c r="CC753" s="18"/>
      <c r="CD753" s="18"/>
      <c r="CE753" s="18"/>
    </row>
    <row r="754" spans="4:83" x14ac:dyDescent="0.15">
      <c r="D754" s="18"/>
      <c r="E754" s="18"/>
      <c r="CC754" s="18"/>
      <c r="CD754" s="18"/>
      <c r="CE754" s="18"/>
    </row>
    <row r="755" spans="4:83" x14ac:dyDescent="0.15">
      <c r="D755" s="18"/>
      <c r="E755" s="18"/>
      <c r="CC755" s="18"/>
      <c r="CD755" s="18"/>
      <c r="CE755" s="18"/>
    </row>
    <row r="756" spans="4:83" x14ac:dyDescent="0.15">
      <c r="D756" s="18"/>
      <c r="E756" s="18"/>
      <c r="CC756" s="18"/>
      <c r="CD756" s="18"/>
      <c r="CE756" s="18"/>
    </row>
    <row r="757" spans="4:83" x14ac:dyDescent="0.15">
      <c r="D757" s="18"/>
      <c r="E757" s="18"/>
      <c r="CC757" s="18"/>
      <c r="CD757" s="18"/>
      <c r="CE757" s="18"/>
    </row>
    <row r="758" spans="4:83" x14ac:dyDescent="0.15">
      <c r="D758" s="18"/>
      <c r="E758" s="18"/>
      <c r="CC758" s="18"/>
      <c r="CD758" s="18"/>
      <c r="CE758" s="18"/>
    </row>
    <row r="759" spans="4:83" x14ac:dyDescent="0.15">
      <c r="D759" s="18"/>
      <c r="E759" s="18"/>
      <c r="CC759" s="18"/>
      <c r="CD759" s="18"/>
      <c r="CE759" s="18"/>
    </row>
    <row r="760" spans="4:83" x14ac:dyDescent="0.15">
      <c r="D760" s="18"/>
      <c r="E760" s="18"/>
      <c r="CC760" s="18"/>
      <c r="CD760" s="18"/>
      <c r="CE760" s="18"/>
    </row>
    <row r="761" spans="4:83" x14ac:dyDescent="0.15">
      <c r="D761" s="18"/>
      <c r="E761" s="18"/>
      <c r="CC761" s="18"/>
      <c r="CD761" s="18"/>
      <c r="CE761" s="18"/>
    </row>
    <row r="762" spans="4:83" x14ac:dyDescent="0.15">
      <c r="D762" s="18"/>
      <c r="E762" s="18"/>
      <c r="CC762" s="18"/>
      <c r="CD762" s="18"/>
      <c r="CE762" s="18"/>
    </row>
    <row r="763" spans="4:83" x14ac:dyDescent="0.15">
      <c r="D763" s="18"/>
      <c r="E763" s="18"/>
      <c r="CC763" s="18"/>
      <c r="CD763" s="18"/>
      <c r="CE763" s="18"/>
    </row>
    <row r="764" spans="4:83" x14ac:dyDescent="0.15">
      <c r="D764" s="18"/>
      <c r="E764" s="18"/>
      <c r="CC764" s="18"/>
      <c r="CD764" s="18"/>
      <c r="CE764" s="18"/>
    </row>
    <row r="765" spans="4:83" x14ac:dyDescent="0.15">
      <c r="D765" s="18"/>
      <c r="E765" s="18"/>
      <c r="CC765" s="18"/>
      <c r="CD765" s="18"/>
      <c r="CE765" s="18"/>
    </row>
    <row r="766" spans="4:83" x14ac:dyDescent="0.15">
      <c r="D766" s="18"/>
      <c r="E766" s="18"/>
      <c r="CC766" s="18"/>
      <c r="CD766" s="18"/>
      <c r="CE766" s="18"/>
    </row>
    <row r="767" spans="4:83" x14ac:dyDescent="0.15">
      <c r="D767" s="18"/>
      <c r="E767" s="18"/>
      <c r="CC767" s="18"/>
      <c r="CD767" s="18"/>
      <c r="CE767" s="18"/>
    </row>
    <row r="768" spans="4:83" x14ac:dyDescent="0.15">
      <c r="D768" s="18"/>
      <c r="E768" s="18"/>
      <c r="CC768" s="18"/>
      <c r="CD768" s="18"/>
      <c r="CE768" s="18"/>
    </row>
    <row r="769" spans="4:83" x14ac:dyDescent="0.15">
      <c r="D769" s="18"/>
      <c r="E769" s="18"/>
      <c r="CC769" s="18"/>
      <c r="CD769" s="18"/>
      <c r="CE769" s="18"/>
    </row>
    <row r="770" spans="4:83" x14ac:dyDescent="0.15">
      <c r="D770" s="18"/>
      <c r="E770" s="18"/>
      <c r="CC770" s="18"/>
      <c r="CD770" s="18"/>
      <c r="CE770" s="18"/>
    </row>
    <row r="771" spans="4:83" x14ac:dyDescent="0.15">
      <c r="D771" s="18"/>
      <c r="E771" s="18"/>
      <c r="CC771" s="18"/>
      <c r="CD771" s="18"/>
      <c r="CE771" s="18"/>
    </row>
    <row r="772" spans="4:83" x14ac:dyDescent="0.15">
      <c r="D772" s="18"/>
      <c r="E772" s="18"/>
      <c r="CC772" s="18"/>
      <c r="CD772" s="18"/>
      <c r="CE772" s="18"/>
    </row>
    <row r="773" spans="4:83" x14ac:dyDescent="0.15">
      <c r="D773" s="18"/>
      <c r="E773" s="18"/>
      <c r="CC773" s="18"/>
      <c r="CD773" s="18"/>
      <c r="CE773" s="18"/>
    </row>
    <row r="774" spans="4:83" x14ac:dyDescent="0.15">
      <c r="D774" s="18"/>
      <c r="E774" s="18"/>
      <c r="CC774" s="18"/>
      <c r="CD774" s="18"/>
      <c r="CE774" s="18"/>
    </row>
    <row r="775" spans="4:83" x14ac:dyDescent="0.15">
      <c r="D775" s="18"/>
      <c r="E775" s="18"/>
      <c r="CC775" s="18"/>
      <c r="CD775" s="18"/>
      <c r="CE775" s="18"/>
    </row>
    <row r="776" spans="4:83" x14ac:dyDescent="0.15">
      <c r="D776" s="18"/>
      <c r="E776" s="18"/>
      <c r="CC776" s="18"/>
      <c r="CD776" s="18"/>
      <c r="CE776" s="18"/>
    </row>
    <row r="777" spans="4:83" x14ac:dyDescent="0.15">
      <c r="D777" s="18"/>
      <c r="E777" s="18"/>
      <c r="CC777" s="18"/>
      <c r="CD777" s="18"/>
      <c r="CE777" s="18"/>
    </row>
    <row r="778" spans="4:83" x14ac:dyDescent="0.15">
      <c r="D778" s="18"/>
      <c r="E778" s="18"/>
      <c r="CC778" s="18"/>
      <c r="CD778" s="18"/>
      <c r="CE778" s="18"/>
    </row>
    <row r="779" spans="4:83" x14ac:dyDescent="0.15">
      <c r="D779" s="18"/>
      <c r="E779" s="18"/>
      <c r="CC779" s="18"/>
      <c r="CD779" s="18"/>
      <c r="CE779" s="18"/>
    </row>
    <row r="780" spans="4:83" x14ac:dyDescent="0.15">
      <c r="D780" s="18"/>
      <c r="E780" s="18"/>
      <c r="CC780" s="18"/>
      <c r="CD780" s="18"/>
      <c r="CE780" s="18"/>
    </row>
    <row r="781" spans="4:83" x14ac:dyDescent="0.15">
      <c r="D781" s="18"/>
      <c r="E781" s="18"/>
      <c r="CC781" s="18"/>
      <c r="CD781" s="18"/>
      <c r="CE781" s="18"/>
    </row>
    <row r="782" spans="4:83" x14ac:dyDescent="0.15">
      <c r="D782" s="18"/>
      <c r="E782" s="18"/>
      <c r="CC782" s="18"/>
      <c r="CD782" s="18"/>
      <c r="CE782" s="18"/>
    </row>
    <row r="783" spans="4:83" x14ac:dyDescent="0.15">
      <c r="D783" s="18"/>
      <c r="E783" s="18"/>
      <c r="CC783" s="18"/>
      <c r="CD783" s="18"/>
      <c r="CE783" s="18"/>
    </row>
    <row r="784" spans="4:83" x14ac:dyDescent="0.15">
      <c r="D784" s="18"/>
      <c r="E784" s="18"/>
      <c r="CC784" s="18"/>
      <c r="CD784" s="18"/>
      <c r="CE784" s="18"/>
    </row>
    <row r="785" spans="4:83" x14ac:dyDescent="0.15">
      <c r="D785" s="18"/>
      <c r="E785" s="18"/>
      <c r="CC785" s="18"/>
      <c r="CD785" s="18"/>
      <c r="CE785" s="18"/>
    </row>
    <row r="786" spans="4:83" x14ac:dyDescent="0.15">
      <c r="D786" s="18"/>
      <c r="E786" s="18"/>
      <c r="CC786" s="18"/>
      <c r="CD786" s="18"/>
      <c r="CE786" s="18"/>
    </row>
    <row r="787" spans="4:83" x14ac:dyDescent="0.15">
      <c r="D787" s="18"/>
      <c r="E787" s="18"/>
      <c r="CC787" s="18"/>
      <c r="CD787" s="18"/>
      <c r="CE787" s="18"/>
    </row>
    <row r="788" spans="4:83" x14ac:dyDescent="0.15">
      <c r="D788" s="18"/>
      <c r="E788" s="18"/>
      <c r="CC788" s="18"/>
      <c r="CD788" s="18"/>
      <c r="CE788" s="18"/>
    </row>
    <row r="789" spans="4:83" x14ac:dyDescent="0.15">
      <c r="D789" s="18"/>
      <c r="E789" s="18"/>
    </row>
    <row r="790" spans="4:83" x14ac:dyDescent="0.15">
      <c r="D790" s="18"/>
      <c r="E790" s="18"/>
    </row>
    <row r="791" spans="4:83" x14ac:dyDescent="0.15">
      <c r="D791" s="18"/>
      <c r="E791" s="18"/>
    </row>
    <row r="792" spans="4:83" x14ac:dyDescent="0.15">
      <c r="D792" s="18"/>
      <c r="E792" s="18"/>
    </row>
    <row r="793" spans="4:83" x14ac:dyDescent="0.15">
      <c r="D793" s="18"/>
      <c r="E793" s="18"/>
    </row>
    <row r="794" spans="4:83" x14ac:dyDescent="0.15">
      <c r="D794" s="18"/>
      <c r="E794" s="18"/>
    </row>
    <row r="795" spans="4:83" x14ac:dyDescent="0.15">
      <c r="D795" s="18"/>
      <c r="E795" s="18"/>
    </row>
    <row r="796" spans="4:83" x14ac:dyDescent="0.15">
      <c r="D796" s="18"/>
      <c r="E796" s="18"/>
    </row>
    <row r="797" spans="4:83" x14ac:dyDescent="0.15">
      <c r="D797" s="18"/>
      <c r="E797" s="18"/>
    </row>
    <row r="798" spans="4:83" x14ac:dyDescent="0.15">
      <c r="D798" s="18"/>
      <c r="E798" s="18"/>
    </row>
    <row r="799" spans="4:83" x14ac:dyDescent="0.15">
      <c r="D799" s="18"/>
      <c r="E799" s="18"/>
    </row>
    <row r="800" spans="4:83" x14ac:dyDescent="0.15">
      <c r="D800" s="18"/>
      <c r="E800" s="18"/>
    </row>
    <row r="801" spans="4:5" x14ac:dyDescent="0.15">
      <c r="D801" s="18"/>
      <c r="E801" s="18"/>
    </row>
    <row r="802" spans="4:5" x14ac:dyDescent="0.15">
      <c r="D802" s="18"/>
      <c r="E802" s="18"/>
    </row>
    <row r="803" spans="4:5" x14ac:dyDescent="0.15">
      <c r="D803" s="18"/>
      <c r="E803" s="18"/>
    </row>
    <row r="804" spans="4:5" x14ac:dyDescent="0.15">
      <c r="D804" s="18"/>
      <c r="E804" s="18"/>
    </row>
    <row r="805" spans="4:5" x14ac:dyDescent="0.15">
      <c r="D805" s="18"/>
      <c r="E805" s="18"/>
    </row>
    <row r="806" spans="4:5" x14ac:dyDescent="0.15">
      <c r="D806" s="18"/>
      <c r="E806" s="18"/>
    </row>
    <row r="807" spans="4:5" x14ac:dyDescent="0.15">
      <c r="D807" s="18"/>
      <c r="E807" s="18"/>
    </row>
    <row r="808" spans="4:5" x14ac:dyDescent="0.15">
      <c r="D808" s="18"/>
      <c r="E808" s="18"/>
    </row>
    <row r="809" spans="4:5" x14ac:dyDescent="0.15">
      <c r="D809" s="18"/>
      <c r="E809" s="18"/>
    </row>
    <row r="810" spans="4:5" x14ac:dyDescent="0.15">
      <c r="D810" s="18"/>
      <c r="E810" s="18"/>
    </row>
    <row r="811" spans="4:5" x14ac:dyDescent="0.15">
      <c r="D811" s="18"/>
      <c r="E811" s="18"/>
    </row>
    <row r="812" spans="4:5" x14ac:dyDescent="0.15">
      <c r="D812" s="18"/>
      <c r="E812" s="18"/>
    </row>
    <row r="813" spans="4:5" x14ac:dyDescent="0.15">
      <c r="D813" s="18"/>
      <c r="E813" s="18"/>
    </row>
    <row r="814" spans="4:5" x14ac:dyDescent="0.15">
      <c r="D814" s="18"/>
      <c r="E814" s="18"/>
    </row>
    <row r="815" spans="4:5" x14ac:dyDescent="0.15">
      <c r="D815" s="18"/>
      <c r="E815" s="18"/>
    </row>
    <row r="816" spans="4:5" x14ac:dyDescent="0.15">
      <c r="D816" s="18"/>
      <c r="E816" s="18"/>
    </row>
    <row r="817" spans="4:5" x14ac:dyDescent="0.15">
      <c r="D817" s="18"/>
      <c r="E817" s="18"/>
    </row>
    <row r="818" spans="4:5" x14ac:dyDescent="0.15">
      <c r="D818" s="18"/>
      <c r="E818" s="18"/>
    </row>
    <row r="819" spans="4:5" x14ac:dyDescent="0.15">
      <c r="D819" s="18"/>
      <c r="E819" s="18"/>
    </row>
    <row r="820" spans="4:5" x14ac:dyDescent="0.15">
      <c r="D820" s="18"/>
      <c r="E820" s="18"/>
    </row>
    <row r="821" spans="4:5" x14ac:dyDescent="0.15">
      <c r="D821" s="18"/>
      <c r="E821" s="18"/>
    </row>
    <row r="822" spans="4:5" x14ac:dyDescent="0.15">
      <c r="D822" s="18"/>
      <c r="E822" s="18"/>
    </row>
    <row r="823" spans="4:5" x14ac:dyDescent="0.15">
      <c r="D823" s="18"/>
      <c r="E823" s="18"/>
    </row>
    <row r="824" spans="4:5" x14ac:dyDescent="0.15">
      <c r="D824" s="18"/>
      <c r="E824" s="18"/>
    </row>
    <row r="825" spans="4:5" x14ac:dyDescent="0.15">
      <c r="D825" s="18"/>
      <c r="E825" s="18"/>
    </row>
    <row r="826" spans="4:5" x14ac:dyDescent="0.15">
      <c r="D826" s="18"/>
      <c r="E826" s="18"/>
    </row>
    <row r="827" spans="4:5" x14ac:dyDescent="0.15">
      <c r="D827" s="18"/>
      <c r="E827" s="18"/>
    </row>
    <row r="828" spans="4:5" x14ac:dyDescent="0.15">
      <c r="D828" s="18"/>
      <c r="E828" s="18"/>
    </row>
    <row r="829" spans="4:5" x14ac:dyDescent="0.15">
      <c r="D829" s="18"/>
      <c r="E829" s="18"/>
    </row>
    <row r="830" spans="4:5" x14ac:dyDescent="0.15">
      <c r="D830" s="18"/>
      <c r="E830" s="18"/>
    </row>
    <row r="831" spans="4:5" x14ac:dyDescent="0.15">
      <c r="D831" s="18"/>
      <c r="E831" s="18"/>
    </row>
    <row r="832" spans="4:5" x14ac:dyDescent="0.15">
      <c r="D832" s="18"/>
      <c r="E832" s="18"/>
    </row>
    <row r="833" spans="4:5" x14ac:dyDescent="0.15">
      <c r="D833" s="18"/>
      <c r="E833" s="18"/>
    </row>
    <row r="834" spans="4:5" x14ac:dyDescent="0.15">
      <c r="D834" s="18"/>
      <c r="E834" s="18"/>
    </row>
    <row r="835" spans="4:5" x14ac:dyDescent="0.15">
      <c r="D835" s="18"/>
      <c r="E835" s="18"/>
    </row>
    <row r="836" spans="4:5" x14ac:dyDescent="0.15">
      <c r="D836" s="18"/>
      <c r="E836" s="18"/>
    </row>
    <row r="837" spans="4:5" x14ac:dyDescent="0.15">
      <c r="D837" s="18"/>
      <c r="E837" s="18"/>
    </row>
    <row r="838" spans="4:5" x14ac:dyDescent="0.15">
      <c r="D838" s="18"/>
      <c r="E838" s="18"/>
    </row>
    <row r="839" spans="4:5" x14ac:dyDescent="0.15">
      <c r="D839" s="18"/>
      <c r="E839" s="18"/>
    </row>
    <row r="840" spans="4:5" x14ac:dyDescent="0.15">
      <c r="D840" s="18"/>
      <c r="E840" s="18"/>
    </row>
    <row r="841" spans="4:5" x14ac:dyDescent="0.15">
      <c r="D841" s="18"/>
      <c r="E841" s="18"/>
    </row>
    <row r="842" spans="4:5" x14ac:dyDescent="0.15">
      <c r="D842" s="18"/>
      <c r="E842" s="18"/>
    </row>
    <row r="843" spans="4:5" x14ac:dyDescent="0.15">
      <c r="D843" s="18"/>
      <c r="E843" s="18"/>
    </row>
    <row r="844" spans="4:5" x14ac:dyDescent="0.15">
      <c r="D844" s="18"/>
      <c r="E844" s="18"/>
    </row>
    <row r="845" spans="4:5" x14ac:dyDescent="0.15">
      <c r="D845" s="18"/>
      <c r="E845" s="18"/>
    </row>
    <row r="846" spans="4:5" x14ac:dyDescent="0.15">
      <c r="D846" s="18"/>
      <c r="E846" s="18"/>
    </row>
    <row r="847" spans="4:5" x14ac:dyDescent="0.15">
      <c r="D847" s="18"/>
      <c r="E847" s="18"/>
    </row>
    <row r="848" spans="4:5" x14ac:dyDescent="0.15">
      <c r="D848" s="18"/>
      <c r="E848" s="18"/>
    </row>
    <row r="849" spans="4:5" x14ac:dyDescent="0.15">
      <c r="D849" s="18"/>
      <c r="E849" s="18"/>
    </row>
    <row r="850" spans="4:5" x14ac:dyDescent="0.15">
      <c r="D850" s="18"/>
      <c r="E850" s="18"/>
    </row>
    <row r="851" spans="4:5" x14ac:dyDescent="0.15">
      <c r="D851" s="18"/>
      <c r="E851" s="18"/>
    </row>
    <row r="852" spans="4:5" x14ac:dyDescent="0.15">
      <c r="D852" s="18"/>
      <c r="E852" s="18"/>
    </row>
    <row r="853" spans="4:5" x14ac:dyDescent="0.15">
      <c r="D853" s="18"/>
      <c r="E853" s="18"/>
    </row>
    <row r="854" spans="4:5" x14ac:dyDescent="0.15">
      <c r="D854" s="18"/>
      <c r="E854" s="18"/>
    </row>
    <row r="855" spans="4:5" x14ac:dyDescent="0.15">
      <c r="D855" s="18"/>
      <c r="E855" s="18"/>
    </row>
    <row r="856" spans="4:5" x14ac:dyDescent="0.15">
      <c r="D856" s="18"/>
      <c r="E856" s="18"/>
    </row>
    <row r="857" spans="4:5" x14ac:dyDescent="0.15">
      <c r="D857" s="18"/>
      <c r="E857" s="18"/>
    </row>
    <row r="858" spans="4:5" x14ac:dyDescent="0.15">
      <c r="D858" s="18"/>
      <c r="E858" s="18"/>
    </row>
    <row r="859" spans="4:5" x14ac:dyDescent="0.15">
      <c r="D859" s="18"/>
      <c r="E859" s="18"/>
    </row>
    <row r="860" spans="4:5" x14ac:dyDescent="0.15">
      <c r="D860" s="18"/>
      <c r="E860" s="18"/>
    </row>
    <row r="861" spans="4:5" x14ac:dyDescent="0.15">
      <c r="D861" s="18"/>
      <c r="E861" s="18"/>
    </row>
    <row r="862" spans="4:5" x14ac:dyDescent="0.15">
      <c r="D862" s="18"/>
      <c r="E862" s="18"/>
    </row>
    <row r="863" spans="4:5" x14ac:dyDescent="0.15">
      <c r="D863" s="18"/>
      <c r="E863" s="18"/>
    </row>
    <row r="864" spans="4:5" x14ac:dyDescent="0.15">
      <c r="D864" s="18"/>
      <c r="E864" s="18"/>
    </row>
    <row r="865" spans="4:5" x14ac:dyDescent="0.15">
      <c r="D865" s="18"/>
      <c r="E865" s="18"/>
    </row>
    <row r="866" spans="4:5" x14ac:dyDescent="0.15">
      <c r="D866" s="18"/>
      <c r="E866" s="18"/>
    </row>
    <row r="867" spans="4:5" x14ac:dyDescent="0.15">
      <c r="D867" s="18"/>
      <c r="E867" s="18"/>
    </row>
    <row r="868" spans="4:5" x14ac:dyDescent="0.15">
      <c r="D868" s="18"/>
      <c r="E868" s="18"/>
    </row>
    <row r="869" spans="4:5" x14ac:dyDescent="0.15">
      <c r="D869" s="18"/>
      <c r="E869" s="18"/>
    </row>
    <row r="870" spans="4:5" x14ac:dyDescent="0.15">
      <c r="D870" s="18"/>
      <c r="E870" s="18"/>
    </row>
    <row r="871" spans="4:5" x14ac:dyDescent="0.15">
      <c r="D871" s="18"/>
      <c r="E871" s="18"/>
    </row>
    <row r="872" spans="4:5" x14ac:dyDescent="0.15">
      <c r="D872" s="18"/>
      <c r="E872" s="18"/>
    </row>
    <row r="873" spans="4:5" x14ac:dyDescent="0.15">
      <c r="D873" s="18"/>
      <c r="E873" s="18"/>
    </row>
    <row r="874" spans="4:5" x14ac:dyDescent="0.15">
      <c r="D874" s="18"/>
      <c r="E874" s="18"/>
    </row>
    <row r="875" spans="4:5" x14ac:dyDescent="0.15">
      <c r="D875" s="18"/>
      <c r="E875" s="18"/>
    </row>
    <row r="876" spans="4:5" x14ac:dyDescent="0.15">
      <c r="D876" s="18"/>
      <c r="E876" s="18"/>
    </row>
    <row r="877" spans="4:5" x14ac:dyDescent="0.15">
      <c r="D877" s="18"/>
      <c r="E877" s="18"/>
    </row>
    <row r="878" spans="4:5" x14ac:dyDescent="0.15">
      <c r="D878" s="18"/>
      <c r="E878" s="18"/>
    </row>
    <row r="879" spans="4:5" x14ac:dyDescent="0.15">
      <c r="D879" s="18"/>
      <c r="E879" s="18"/>
    </row>
    <row r="880" spans="4:5" x14ac:dyDescent="0.15">
      <c r="D880" s="18"/>
      <c r="E880" s="18"/>
    </row>
    <row r="881" spans="4:5" x14ac:dyDescent="0.15">
      <c r="D881" s="18"/>
      <c r="E881" s="18"/>
    </row>
    <row r="882" spans="4:5" x14ac:dyDescent="0.15">
      <c r="D882" s="18"/>
      <c r="E882" s="18"/>
    </row>
    <row r="883" spans="4:5" x14ac:dyDescent="0.15">
      <c r="D883" s="18"/>
      <c r="E883" s="18"/>
    </row>
    <row r="884" spans="4:5" x14ac:dyDescent="0.15">
      <c r="D884" s="18"/>
      <c r="E884" s="18"/>
    </row>
    <row r="885" spans="4:5" x14ac:dyDescent="0.15">
      <c r="D885" s="18"/>
      <c r="E885" s="18"/>
    </row>
    <row r="886" spans="4:5" x14ac:dyDescent="0.15">
      <c r="D886" s="18"/>
      <c r="E886" s="18"/>
    </row>
    <row r="887" spans="4:5" x14ac:dyDescent="0.15">
      <c r="D887" s="18"/>
      <c r="E887" s="18"/>
    </row>
    <row r="888" spans="4:5" x14ac:dyDescent="0.15">
      <c r="D888" s="18"/>
      <c r="E888" s="18"/>
    </row>
    <row r="889" spans="4:5" x14ac:dyDescent="0.15">
      <c r="D889" s="18"/>
      <c r="E889" s="18"/>
    </row>
    <row r="890" spans="4:5" x14ac:dyDescent="0.15">
      <c r="D890" s="18"/>
      <c r="E890" s="18"/>
    </row>
    <row r="891" spans="4:5" x14ac:dyDescent="0.15">
      <c r="D891" s="18"/>
      <c r="E891" s="18"/>
    </row>
    <row r="892" spans="4:5" x14ac:dyDescent="0.15">
      <c r="D892" s="18"/>
      <c r="E892" s="18"/>
    </row>
    <row r="893" spans="4:5" x14ac:dyDescent="0.15">
      <c r="D893" s="18"/>
      <c r="E893" s="18"/>
    </row>
    <row r="894" spans="4:5" x14ac:dyDescent="0.15">
      <c r="D894" s="18"/>
      <c r="E894" s="18"/>
    </row>
    <row r="895" spans="4:5" x14ac:dyDescent="0.15">
      <c r="D895" s="18"/>
      <c r="E895" s="18"/>
    </row>
    <row r="896" spans="4:5" x14ac:dyDescent="0.15">
      <c r="D896" s="18"/>
      <c r="E896" s="18"/>
    </row>
    <row r="897" spans="4:5" x14ac:dyDescent="0.15">
      <c r="D897" s="18"/>
      <c r="E897" s="18"/>
    </row>
    <row r="898" spans="4:5" x14ac:dyDescent="0.15">
      <c r="D898" s="18"/>
      <c r="E898" s="18"/>
    </row>
    <row r="899" spans="4:5" x14ac:dyDescent="0.15">
      <c r="D899" s="18"/>
      <c r="E899" s="18"/>
    </row>
    <row r="900" spans="4:5" x14ac:dyDescent="0.15">
      <c r="D900" s="18"/>
      <c r="E900" s="18"/>
    </row>
    <row r="901" spans="4:5" x14ac:dyDescent="0.15">
      <c r="D901" s="18"/>
      <c r="E901" s="18"/>
    </row>
    <row r="902" spans="4:5" x14ac:dyDescent="0.15">
      <c r="D902" s="18"/>
      <c r="E902" s="18"/>
    </row>
    <row r="903" spans="4:5" x14ac:dyDescent="0.15">
      <c r="D903" s="18"/>
      <c r="E903" s="18"/>
    </row>
    <row r="904" spans="4:5" x14ac:dyDescent="0.15">
      <c r="D904" s="18"/>
      <c r="E904" s="18"/>
    </row>
    <row r="905" spans="4:5" x14ac:dyDescent="0.15">
      <c r="D905" s="18"/>
      <c r="E905" s="18"/>
    </row>
    <row r="906" spans="4:5" x14ac:dyDescent="0.15">
      <c r="D906" s="18"/>
      <c r="E906" s="18"/>
    </row>
    <row r="907" spans="4:5" x14ac:dyDescent="0.15">
      <c r="D907" s="18"/>
      <c r="E907" s="18"/>
    </row>
    <row r="908" spans="4:5" x14ac:dyDescent="0.15">
      <c r="D908" s="18"/>
      <c r="E908" s="18"/>
    </row>
    <row r="909" spans="4:5" x14ac:dyDescent="0.15">
      <c r="D909" s="18"/>
      <c r="E909" s="18"/>
    </row>
    <row r="910" spans="4:5" x14ac:dyDescent="0.15">
      <c r="D910" s="18"/>
      <c r="E910" s="18"/>
    </row>
    <row r="911" spans="4:5" x14ac:dyDescent="0.15">
      <c r="D911" s="18"/>
      <c r="E911" s="18"/>
    </row>
    <row r="912" spans="4:5" x14ac:dyDescent="0.15">
      <c r="D912" s="18"/>
      <c r="E912" s="18"/>
    </row>
    <row r="913" spans="4:5" x14ac:dyDescent="0.15">
      <c r="D913" s="18"/>
      <c r="E913" s="18"/>
    </row>
    <row r="914" spans="4:5" x14ac:dyDescent="0.15">
      <c r="D914" s="18"/>
      <c r="E914" s="18"/>
    </row>
    <row r="915" spans="4:5" x14ac:dyDescent="0.15">
      <c r="D915" s="18"/>
      <c r="E915" s="18"/>
    </row>
    <row r="916" spans="4:5" x14ac:dyDescent="0.15">
      <c r="D916" s="18"/>
      <c r="E916" s="18"/>
    </row>
    <row r="917" spans="4:5" x14ac:dyDescent="0.15">
      <c r="D917" s="18"/>
      <c r="E917" s="18"/>
    </row>
    <row r="918" spans="4:5" x14ac:dyDescent="0.15">
      <c r="D918" s="18"/>
      <c r="E918" s="18"/>
    </row>
    <row r="919" spans="4:5" x14ac:dyDescent="0.15">
      <c r="D919" s="18"/>
      <c r="E919" s="18"/>
    </row>
    <row r="920" spans="4:5" x14ac:dyDescent="0.15">
      <c r="D920" s="18"/>
      <c r="E920" s="18"/>
    </row>
    <row r="921" spans="4:5" x14ac:dyDescent="0.15">
      <c r="D921" s="18"/>
      <c r="E921" s="18"/>
    </row>
    <row r="922" spans="4:5" x14ac:dyDescent="0.15">
      <c r="D922" s="18"/>
      <c r="E922" s="18"/>
    </row>
    <row r="923" spans="4:5" x14ac:dyDescent="0.15">
      <c r="D923" s="18"/>
      <c r="E923" s="18"/>
    </row>
    <row r="924" spans="4:5" x14ac:dyDescent="0.15">
      <c r="D924" s="18"/>
      <c r="E924" s="18"/>
    </row>
    <row r="925" spans="4:5" x14ac:dyDescent="0.15">
      <c r="D925" s="18"/>
      <c r="E925" s="18"/>
    </row>
    <row r="926" spans="4:5" x14ac:dyDescent="0.15">
      <c r="D926" s="18"/>
      <c r="E926" s="18"/>
    </row>
    <row r="927" spans="4:5" x14ac:dyDescent="0.15">
      <c r="D927" s="18"/>
      <c r="E927" s="18"/>
    </row>
    <row r="928" spans="4:5" x14ac:dyDescent="0.15">
      <c r="D928" s="18"/>
      <c r="E928" s="18"/>
    </row>
    <row r="929" spans="4:5" x14ac:dyDescent="0.15">
      <c r="D929" s="18"/>
      <c r="E929" s="18"/>
    </row>
    <row r="930" spans="4:5" x14ac:dyDescent="0.15">
      <c r="D930" s="18"/>
      <c r="E930" s="18"/>
    </row>
    <row r="931" spans="4:5" x14ac:dyDescent="0.15">
      <c r="D931" s="18"/>
      <c r="E931" s="18"/>
    </row>
    <row r="932" spans="4:5" x14ac:dyDescent="0.15">
      <c r="D932" s="18"/>
      <c r="E932" s="18"/>
    </row>
    <row r="933" spans="4:5" x14ac:dyDescent="0.15">
      <c r="D933" s="18"/>
      <c r="E933" s="18"/>
    </row>
    <row r="934" spans="4:5" x14ac:dyDescent="0.15">
      <c r="D934" s="18"/>
      <c r="E934" s="18"/>
    </row>
    <row r="935" spans="4:5" x14ac:dyDescent="0.15">
      <c r="D935" s="18"/>
      <c r="E935" s="18"/>
    </row>
    <row r="936" spans="4:5" x14ac:dyDescent="0.15">
      <c r="D936" s="18"/>
      <c r="E936" s="18"/>
    </row>
    <row r="937" spans="4:5" x14ac:dyDescent="0.15">
      <c r="D937" s="18"/>
      <c r="E937" s="18"/>
    </row>
    <row r="938" spans="4:5" x14ac:dyDescent="0.15">
      <c r="D938" s="18"/>
      <c r="E938" s="18"/>
    </row>
    <row r="939" spans="4:5" x14ac:dyDescent="0.15">
      <c r="D939" s="18"/>
      <c r="E939" s="18"/>
    </row>
    <row r="940" spans="4:5" x14ac:dyDescent="0.15">
      <c r="D940" s="18"/>
      <c r="E940" s="18"/>
    </row>
    <row r="941" spans="4:5" x14ac:dyDescent="0.15">
      <c r="D941" s="18"/>
      <c r="E941" s="18"/>
    </row>
    <row r="942" spans="4:5" x14ac:dyDescent="0.15">
      <c r="D942" s="18"/>
      <c r="E942" s="18"/>
    </row>
    <row r="943" spans="4:5" x14ac:dyDescent="0.15">
      <c r="D943" s="18"/>
      <c r="E943" s="18"/>
    </row>
    <row r="944" spans="4:5" x14ac:dyDescent="0.15">
      <c r="D944" s="18"/>
      <c r="E944" s="18"/>
    </row>
    <row r="945" spans="4:5" x14ac:dyDescent="0.15">
      <c r="D945" s="18"/>
      <c r="E945" s="18"/>
    </row>
    <row r="946" spans="4:5" x14ac:dyDescent="0.15">
      <c r="D946" s="18"/>
      <c r="E946" s="18"/>
    </row>
    <row r="947" spans="4:5" x14ac:dyDescent="0.15">
      <c r="D947" s="18"/>
      <c r="E947" s="18"/>
    </row>
    <row r="948" spans="4:5" x14ac:dyDescent="0.15">
      <c r="D948" s="18"/>
      <c r="E948" s="18"/>
    </row>
    <row r="949" spans="4:5" x14ac:dyDescent="0.15">
      <c r="D949" s="18"/>
      <c r="E949" s="18"/>
    </row>
    <row r="950" spans="4:5" x14ac:dyDescent="0.15">
      <c r="D950" s="18"/>
      <c r="E950" s="18"/>
    </row>
    <row r="951" spans="4:5" x14ac:dyDescent="0.15">
      <c r="D951" s="18"/>
      <c r="E951" s="18"/>
    </row>
    <row r="952" spans="4:5" x14ac:dyDescent="0.15">
      <c r="D952" s="18"/>
      <c r="E952" s="18"/>
    </row>
    <row r="953" spans="4:5" x14ac:dyDescent="0.15">
      <c r="D953" s="18"/>
      <c r="E953" s="18"/>
    </row>
    <row r="954" spans="4:5" x14ac:dyDescent="0.15">
      <c r="D954" s="18"/>
      <c r="E954" s="18"/>
    </row>
    <row r="955" spans="4:5" x14ac:dyDescent="0.15">
      <c r="D955" s="18"/>
      <c r="E955" s="18"/>
    </row>
    <row r="956" spans="4:5" x14ac:dyDescent="0.15">
      <c r="D956" s="18"/>
      <c r="E956" s="18"/>
    </row>
    <row r="957" spans="4:5" x14ac:dyDescent="0.15">
      <c r="D957" s="18"/>
      <c r="E957" s="18"/>
    </row>
    <row r="958" spans="4:5" x14ac:dyDescent="0.15">
      <c r="D958" s="18"/>
      <c r="E958" s="18"/>
    </row>
    <row r="959" spans="4:5" x14ac:dyDescent="0.15">
      <c r="D959" s="18"/>
      <c r="E959" s="18"/>
    </row>
    <row r="960" spans="4:5" x14ac:dyDescent="0.15">
      <c r="D960" s="18"/>
      <c r="E960" s="18"/>
    </row>
    <row r="961" spans="4:5" x14ac:dyDescent="0.15">
      <c r="D961" s="18"/>
      <c r="E961" s="18"/>
    </row>
    <row r="962" spans="4:5" x14ac:dyDescent="0.15">
      <c r="D962" s="18"/>
      <c r="E962" s="18"/>
    </row>
    <row r="963" spans="4:5" x14ac:dyDescent="0.15">
      <c r="D963" s="18"/>
      <c r="E963" s="18"/>
    </row>
    <row r="964" spans="4:5" x14ac:dyDescent="0.15">
      <c r="D964" s="18"/>
      <c r="E964" s="18"/>
    </row>
    <row r="965" spans="4:5" x14ac:dyDescent="0.15">
      <c r="D965" s="18"/>
      <c r="E965" s="18"/>
    </row>
    <row r="966" spans="4:5" x14ac:dyDescent="0.15">
      <c r="D966" s="18"/>
      <c r="E966" s="18"/>
    </row>
    <row r="967" spans="4:5" x14ac:dyDescent="0.15">
      <c r="D967" s="18"/>
      <c r="E967" s="18"/>
    </row>
    <row r="968" spans="4:5" x14ac:dyDescent="0.15">
      <c r="D968" s="18"/>
      <c r="E968" s="18"/>
    </row>
    <row r="969" spans="4:5" x14ac:dyDescent="0.15">
      <c r="D969" s="18"/>
      <c r="E969" s="18"/>
    </row>
    <row r="970" spans="4:5" x14ac:dyDescent="0.15">
      <c r="D970" s="18"/>
      <c r="E970" s="18"/>
    </row>
    <row r="971" spans="4:5" x14ac:dyDescent="0.15">
      <c r="D971" s="18"/>
      <c r="E971" s="18"/>
    </row>
    <row r="972" spans="4:5" x14ac:dyDescent="0.15">
      <c r="D972" s="18"/>
      <c r="E972" s="18"/>
    </row>
    <row r="973" spans="4:5" x14ac:dyDescent="0.15">
      <c r="D973" s="18"/>
      <c r="E973" s="18"/>
    </row>
    <row r="974" spans="4:5" x14ac:dyDescent="0.15">
      <c r="D974" s="18"/>
      <c r="E974" s="18"/>
    </row>
    <row r="975" spans="4:5" x14ac:dyDescent="0.15">
      <c r="D975" s="18"/>
      <c r="E975" s="18"/>
    </row>
    <row r="976" spans="4:5" x14ac:dyDescent="0.15">
      <c r="D976" s="18"/>
      <c r="E976" s="18"/>
    </row>
    <row r="977" spans="4:5" x14ac:dyDescent="0.15">
      <c r="D977" s="18"/>
      <c r="E977" s="18"/>
    </row>
    <row r="978" spans="4:5" x14ac:dyDescent="0.15">
      <c r="D978" s="18"/>
      <c r="E978" s="18"/>
    </row>
    <row r="979" spans="4:5" x14ac:dyDescent="0.15">
      <c r="D979" s="18"/>
      <c r="E979" s="18"/>
    </row>
    <row r="980" spans="4:5" x14ac:dyDescent="0.15">
      <c r="D980" s="18"/>
      <c r="E980" s="18"/>
    </row>
    <row r="981" spans="4:5" x14ac:dyDescent="0.15">
      <c r="D981" s="18"/>
      <c r="E981" s="18"/>
    </row>
    <row r="982" spans="4:5" x14ac:dyDescent="0.15">
      <c r="D982" s="18"/>
      <c r="E982" s="18"/>
    </row>
    <row r="983" spans="4:5" x14ac:dyDescent="0.15">
      <c r="D983" s="18"/>
      <c r="E983" s="18"/>
    </row>
    <row r="984" spans="4:5" x14ac:dyDescent="0.15">
      <c r="D984" s="18"/>
      <c r="E984" s="18"/>
    </row>
    <row r="985" spans="4:5" x14ac:dyDescent="0.15">
      <c r="D985" s="18"/>
      <c r="E985" s="18"/>
    </row>
    <row r="986" spans="4:5" x14ac:dyDescent="0.15">
      <c r="D986" s="18"/>
      <c r="E986" s="18"/>
    </row>
    <row r="987" spans="4:5" x14ac:dyDescent="0.15">
      <c r="D987" s="18"/>
      <c r="E987" s="18"/>
    </row>
    <row r="988" spans="4:5" x14ac:dyDescent="0.15">
      <c r="D988" s="18"/>
      <c r="E988" s="18"/>
    </row>
    <row r="989" spans="4:5" x14ac:dyDescent="0.15">
      <c r="D989" s="18"/>
      <c r="E989" s="18"/>
    </row>
    <row r="990" spans="4:5" x14ac:dyDescent="0.15">
      <c r="D990" s="18"/>
      <c r="E990" s="18"/>
    </row>
    <row r="991" spans="4:5" x14ac:dyDescent="0.15">
      <c r="D991" s="18"/>
      <c r="E991" s="18"/>
    </row>
    <row r="992" spans="4:5" x14ac:dyDescent="0.15">
      <c r="D992" s="18"/>
      <c r="E992" s="18"/>
    </row>
    <row r="993" spans="4:5" x14ac:dyDescent="0.15">
      <c r="D993" s="18"/>
      <c r="E993" s="18"/>
    </row>
    <row r="994" spans="4:5" x14ac:dyDescent="0.15">
      <c r="D994" s="18"/>
      <c r="E994" s="18"/>
    </row>
    <row r="995" spans="4:5" x14ac:dyDescent="0.15">
      <c r="D995" s="18"/>
      <c r="E995" s="18"/>
    </row>
    <row r="996" spans="4:5" x14ac:dyDescent="0.15">
      <c r="D996" s="18"/>
      <c r="E996" s="18"/>
    </row>
    <row r="997" spans="4:5" x14ac:dyDescent="0.15">
      <c r="D997" s="18"/>
      <c r="E997" s="18"/>
    </row>
    <row r="998" spans="4:5" x14ac:dyDescent="0.15">
      <c r="D998" s="18"/>
      <c r="E998" s="18"/>
    </row>
    <row r="999" spans="4:5" x14ac:dyDescent="0.15">
      <c r="D999" s="18"/>
      <c r="E999" s="18"/>
    </row>
    <row r="1000" spans="4:5" x14ac:dyDescent="0.15">
      <c r="D1000" s="18"/>
      <c r="E1000" s="18"/>
    </row>
    <row r="1001" spans="4:5" x14ac:dyDescent="0.15">
      <c r="D1001" s="18"/>
      <c r="E1001" s="18"/>
    </row>
    <row r="1002" spans="4:5" x14ac:dyDescent="0.15">
      <c r="D1002" s="18"/>
      <c r="E1002" s="18"/>
    </row>
    <row r="1003" spans="4:5" x14ac:dyDescent="0.15">
      <c r="D1003" s="18"/>
      <c r="E1003" s="18"/>
    </row>
    <row r="1004" spans="4:5" x14ac:dyDescent="0.15">
      <c r="D1004" s="18"/>
      <c r="E1004" s="18"/>
    </row>
    <row r="1005" spans="4:5" x14ac:dyDescent="0.15">
      <c r="D1005" s="18"/>
      <c r="E1005" s="18"/>
    </row>
    <row r="1006" spans="4:5" x14ac:dyDescent="0.15">
      <c r="D1006" s="18"/>
      <c r="E1006" s="18"/>
    </row>
    <row r="1007" spans="4:5" x14ac:dyDescent="0.15">
      <c r="D1007" s="18"/>
      <c r="E1007" s="18"/>
    </row>
    <row r="1008" spans="4:5" x14ac:dyDescent="0.15">
      <c r="D1008" s="18"/>
      <c r="E1008" s="18"/>
    </row>
    <row r="1009" spans="4:5" x14ac:dyDescent="0.15">
      <c r="D1009" s="18"/>
      <c r="E1009" s="18"/>
    </row>
    <row r="1010" spans="4:5" x14ac:dyDescent="0.15">
      <c r="D1010" s="18"/>
      <c r="E1010" s="18"/>
    </row>
    <row r="1011" spans="4:5" x14ac:dyDescent="0.15">
      <c r="D1011" s="18"/>
      <c r="E1011" s="18"/>
    </row>
    <row r="1012" spans="4:5" x14ac:dyDescent="0.15">
      <c r="D1012" s="18"/>
      <c r="E1012" s="18"/>
    </row>
    <row r="1013" spans="4:5" x14ac:dyDescent="0.15">
      <c r="D1013" s="18"/>
      <c r="E1013" s="18"/>
    </row>
    <row r="1014" spans="4:5" x14ac:dyDescent="0.15">
      <c r="D1014" s="18"/>
      <c r="E1014" s="18"/>
    </row>
    <row r="1015" spans="4:5" x14ac:dyDescent="0.15">
      <c r="D1015" s="18"/>
      <c r="E1015" s="18"/>
    </row>
    <row r="1016" spans="4:5" x14ac:dyDescent="0.15">
      <c r="D1016" s="18"/>
      <c r="E1016" s="18"/>
    </row>
    <row r="1017" spans="4:5" x14ac:dyDescent="0.15">
      <c r="D1017" s="18"/>
      <c r="E1017" s="18"/>
    </row>
    <row r="1018" spans="4:5" x14ac:dyDescent="0.15">
      <c r="D1018" s="18"/>
      <c r="E1018" s="18"/>
    </row>
    <row r="1019" spans="4:5" x14ac:dyDescent="0.15">
      <c r="D1019" s="18"/>
      <c r="E1019" s="18"/>
    </row>
    <row r="1020" spans="4:5" x14ac:dyDescent="0.15">
      <c r="D1020" s="18"/>
      <c r="E1020" s="18"/>
    </row>
    <row r="1021" spans="4:5" x14ac:dyDescent="0.15">
      <c r="D1021" s="18"/>
      <c r="E1021" s="18"/>
    </row>
    <row r="1022" spans="4:5" x14ac:dyDescent="0.15">
      <c r="D1022" s="18"/>
      <c r="E1022" s="18"/>
    </row>
    <row r="1023" spans="4:5" x14ac:dyDescent="0.15">
      <c r="D1023" s="18"/>
      <c r="E1023" s="18"/>
    </row>
    <row r="1024" spans="4:5" x14ac:dyDescent="0.15">
      <c r="D1024" s="18"/>
      <c r="E1024" s="18"/>
    </row>
    <row r="1025" spans="4:5" x14ac:dyDescent="0.15">
      <c r="D1025" s="18"/>
      <c r="E1025" s="18"/>
    </row>
    <row r="1026" spans="4:5" x14ac:dyDescent="0.15">
      <c r="D1026" s="18"/>
      <c r="E1026" s="18"/>
    </row>
    <row r="1027" spans="4:5" x14ac:dyDescent="0.15">
      <c r="D1027" s="18"/>
      <c r="E1027" s="18"/>
    </row>
    <row r="1028" spans="4:5" x14ac:dyDescent="0.15">
      <c r="D1028" s="18"/>
      <c r="E1028" s="18"/>
    </row>
    <row r="1029" spans="4:5" x14ac:dyDescent="0.15">
      <c r="D1029" s="18"/>
      <c r="E1029" s="18"/>
    </row>
    <row r="1030" spans="4:5" x14ac:dyDescent="0.15">
      <c r="D1030" s="18"/>
      <c r="E1030" s="18"/>
    </row>
    <row r="1031" spans="4:5" x14ac:dyDescent="0.15">
      <c r="D1031" s="18"/>
      <c r="E1031" s="18"/>
    </row>
    <row r="1032" spans="4:5" x14ac:dyDescent="0.15">
      <c r="D1032" s="18"/>
      <c r="E1032" s="18"/>
    </row>
    <row r="1033" spans="4:5" x14ac:dyDescent="0.15">
      <c r="D1033" s="18"/>
      <c r="E1033" s="18"/>
    </row>
    <row r="1034" spans="4:5" x14ac:dyDescent="0.15">
      <c r="D1034" s="18"/>
      <c r="E1034" s="18"/>
    </row>
    <row r="1035" spans="4:5" x14ac:dyDescent="0.15">
      <c r="D1035" s="18"/>
      <c r="E1035" s="18"/>
    </row>
    <row r="1036" spans="4:5" x14ac:dyDescent="0.15">
      <c r="D1036" s="18"/>
      <c r="E1036" s="18"/>
    </row>
    <row r="1037" spans="4:5" x14ac:dyDescent="0.15">
      <c r="D1037" s="18"/>
      <c r="E1037" s="18"/>
    </row>
    <row r="1038" spans="4:5" x14ac:dyDescent="0.15">
      <c r="D1038" s="18"/>
      <c r="E1038" s="18"/>
    </row>
    <row r="1039" spans="4:5" x14ac:dyDescent="0.15">
      <c r="D1039" s="18"/>
      <c r="E1039" s="18"/>
    </row>
    <row r="1040" spans="4:5" x14ac:dyDescent="0.15">
      <c r="D1040" s="18"/>
      <c r="E1040" s="18"/>
    </row>
    <row r="1041" spans="4:5" x14ac:dyDescent="0.15">
      <c r="D1041" s="18"/>
      <c r="E1041" s="18"/>
    </row>
    <row r="1042" spans="4:5" x14ac:dyDescent="0.15">
      <c r="D1042" s="18"/>
      <c r="E1042" s="18"/>
    </row>
    <row r="1043" spans="4:5" x14ac:dyDescent="0.15">
      <c r="D1043" s="18"/>
      <c r="E1043" s="18"/>
    </row>
    <row r="1044" spans="4:5" x14ac:dyDescent="0.15">
      <c r="D1044" s="18"/>
      <c r="E1044" s="18"/>
    </row>
    <row r="1045" spans="4:5" x14ac:dyDescent="0.15">
      <c r="D1045" s="18"/>
      <c r="E1045" s="18"/>
    </row>
    <row r="1046" spans="4:5" x14ac:dyDescent="0.15">
      <c r="D1046" s="18"/>
      <c r="E1046" s="18"/>
    </row>
    <row r="1047" spans="4:5" x14ac:dyDescent="0.15">
      <c r="D1047" s="18"/>
      <c r="E1047" s="18"/>
    </row>
    <row r="1048" spans="4:5" x14ac:dyDescent="0.15">
      <c r="D1048" s="18"/>
      <c r="E1048" s="18"/>
    </row>
    <row r="1049" spans="4:5" x14ac:dyDescent="0.15">
      <c r="D1049" s="18"/>
      <c r="E1049" s="18"/>
    </row>
    <row r="1050" spans="4:5" x14ac:dyDescent="0.15">
      <c r="D1050" s="18"/>
      <c r="E1050" s="18"/>
    </row>
    <row r="1051" spans="4:5" x14ac:dyDescent="0.15">
      <c r="D1051" s="18"/>
      <c r="E1051" s="18"/>
    </row>
    <row r="1052" spans="4:5" x14ac:dyDescent="0.15">
      <c r="D1052" s="18"/>
      <c r="E1052" s="18"/>
    </row>
    <row r="1053" spans="4:5" x14ac:dyDescent="0.15">
      <c r="D1053" s="18"/>
      <c r="E1053" s="18"/>
    </row>
    <row r="1054" spans="4:5" x14ac:dyDescent="0.15">
      <c r="D1054" s="18"/>
      <c r="E1054" s="18"/>
    </row>
    <row r="1055" spans="4:5" x14ac:dyDescent="0.15">
      <c r="D1055" s="18"/>
      <c r="E1055" s="18"/>
    </row>
    <row r="1056" spans="4:5" x14ac:dyDescent="0.15">
      <c r="D1056" s="18"/>
      <c r="E1056" s="18"/>
    </row>
    <row r="1057" spans="4:5" x14ac:dyDescent="0.15">
      <c r="D1057" s="18"/>
      <c r="E1057" s="18"/>
    </row>
    <row r="1058" spans="4:5" x14ac:dyDescent="0.15">
      <c r="D1058" s="18"/>
      <c r="E1058" s="18"/>
    </row>
    <row r="1059" spans="4:5" x14ac:dyDescent="0.15">
      <c r="D1059" s="18"/>
      <c r="E1059" s="18"/>
    </row>
    <row r="1060" spans="4:5" x14ac:dyDescent="0.15">
      <c r="D1060" s="18"/>
      <c r="E1060" s="18"/>
    </row>
    <row r="1061" spans="4:5" x14ac:dyDescent="0.15">
      <c r="D1061" s="18"/>
      <c r="E1061" s="18"/>
    </row>
    <row r="1062" spans="4:5" x14ac:dyDescent="0.15">
      <c r="D1062" s="18"/>
      <c r="E1062" s="18"/>
    </row>
    <row r="1063" spans="4:5" x14ac:dyDescent="0.15">
      <c r="D1063" s="18"/>
      <c r="E1063" s="18"/>
    </row>
    <row r="1064" spans="4:5" x14ac:dyDescent="0.15">
      <c r="D1064" s="18"/>
      <c r="E1064" s="18"/>
    </row>
    <row r="1065" spans="4:5" x14ac:dyDescent="0.15">
      <c r="D1065" s="18"/>
      <c r="E1065" s="18"/>
    </row>
    <row r="1066" spans="4:5" x14ac:dyDescent="0.15">
      <c r="D1066" s="18"/>
      <c r="E1066" s="18"/>
    </row>
    <row r="1067" spans="4:5" x14ac:dyDescent="0.15">
      <c r="D1067" s="18"/>
      <c r="E1067" s="18"/>
    </row>
    <row r="1068" spans="4:5" x14ac:dyDescent="0.15">
      <c r="D1068" s="18"/>
      <c r="E1068" s="18"/>
    </row>
    <row r="1069" spans="4:5" x14ac:dyDescent="0.15">
      <c r="D1069" s="18"/>
      <c r="E1069" s="18"/>
    </row>
    <row r="1070" spans="4:5" x14ac:dyDescent="0.15">
      <c r="D1070" s="18"/>
      <c r="E1070" s="18"/>
    </row>
    <row r="1071" spans="4:5" x14ac:dyDescent="0.15">
      <c r="D1071" s="18"/>
      <c r="E1071" s="18"/>
    </row>
    <row r="1072" spans="4:5" x14ac:dyDescent="0.15">
      <c r="D1072" s="18"/>
      <c r="E1072" s="18"/>
    </row>
    <row r="1073" spans="4:5" x14ac:dyDescent="0.15">
      <c r="D1073" s="18"/>
      <c r="E1073" s="18"/>
    </row>
    <row r="1074" spans="4:5" x14ac:dyDescent="0.15">
      <c r="D1074" s="18"/>
      <c r="E1074" s="18"/>
    </row>
    <row r="1075" spans="4:5" x14ac:dyDescent="0.15">
      <c r="D1075" s="18"/>
      <c r="E1075" s="18"/>
    </row>
    <row r="1076" spans="4:5" x14ac:dyDescent="0.15">
      <c r="D1076" s="18"/>
      <c r="E1076" s="18"/>
    </row>
    <row r="1077" spans="4:5" x14ac:dyDescent="0.15">
      <c r="D1077" s="18"/>
      <c r="E1077" s="18"/>
    </row>
    <row r="1078" spans="4:5" x14ac:dyDescent="0.15">
      <c r="D1078" s="18"/>
      <c r="E1078" s="18"/>
    </row>
    <row r="1079" spans="4:5" x14ac:dyDescent="0.15">
      <c r="D1079" s="18"/>
      <c r="E1079" s="18"/>
    </row>
    <row r="1080" spans="4:5" x14ac:dyDescent="0.15">
      <c r="D1080" s="18"/>
      <c r="E1080" s="18"/>
    </row>
    <row r="1081" spans="4:5" x14ac:dyDescent="0.15">
      <c r="D1081" s="18"/>
      <c r="E1081" s="18"/>
    </row>
    <row r="1082" spans="4:5" x14ac:dyDescent="0.15">
      <c r="D1082" s="18"/>
      <c r="E1082" s="18"/>
    </row>
    <row r="1083" spans="4:5" x14ac:dyDescent="0.15">
      <c r="D1083" s="18"/>
      <c r="E1083" s="18"/>
    </row>
    <row r="1084" spans="4:5" x14ac:dyDescent="0.15">
      <c r="D1084" s="18"/>
      <c r="E1084" s="18"/>
    </row>
    <row r="1085" spans="4:5" x14ac:dyDescent="0.15">
      <c r="D1085" s="18"/>
      <c r="E1085" s="18"/>
    </row>
    <row r="1086" spans="4:5" x14ac:dyDescent="0.15">
      <c r="D1086" s="18"/>
      <c r="E1086" s="18"/>
    </row>
    <row r="1087" spans="4:5" x14ac:dyDescent="0.15">
      <c r="D1087" s="18"/>
      <c r="E1087" s="18"/>
    </row>
    <row r="1088" spans="4:5" x14ac:dyDescent="0.15">
      <c r="D1088" s="18"/>
      <c r="E1088" s="18"/>
    </row>
    <row r="1089" spans="4:5" x14ac:dyDescent="0.15">
      <c r="D1089" s="18"/>
      <c r="E1089" s="18"/>
    </row>
    <row r="1090" spans="4:5" x14ac:dyDescent="0.15">
      <c r="D1090" s="18"/>
      <c r="E1090" s="18"/>
    </row>
    <row r="1091" spans="4:5" x14ac:dyDescent="0.15">
      <c r="D1091" s="18"/>
      <c r="E1091" s="18"/>
    </row>
    <row r="1092" spans="4:5" x14ac:dyDescent="0.15">
      <c r="D1092" s="18"/>
      <c r="E1092" s="18"/>
    </row>
    <row r="1093" spans="4:5" x14ac:dyDescent="0.15">
      <c r="D1093" s="18"/>
      <c r="E1093" s="18"/>
    </row>
    <row r="1094" spans="4:5" x14ac:dyDescent="0.15">
      <c r="D1094" s="18"/>
      <c r="E1094" s="18"/>
    </row>
    <row r="1095" spans="4:5" x14ac:dyDescent="0.15">
      <c r="D1095" s="18"/>
      <c r="E1095" s="18"/>
    </row>
    <row r="1096" spans="4:5" x14ac:dyDescent="0.15">
      <c r="D1096" s="18"/>
      <c r="E1096" s="18"/>
    </row>
    <row r="1097" spans="4:5" x14ac:dyDescent="0.15">
      <c r="D1097" s="18"/>
      <c r="E1097" s="18"/>
    </row>
    <row r="1098" spans="4:5" x14ac:dyDescent="0.15">
      <c r="D1098" s="18"/>
      <c r="E1098" s="18"/>
    </row>
    <row r="1099" spans="4:5" x14ac:dyDescent="0.15">
      <c r="D1099" s="18"/>
      <c r="E1099" s="18"/>
    </row>
    <row r="1100" spans="4:5" x14ac:dyDescent="0.15">
      <c r="D1100" s="18"/>
      <c r="E1100" s="18"/>
    </row>
    <row r="1101" spans="4:5" x14ac:dyDescent="0.15">
      <c r="D1101" s="18"/>
      <c r="E1101" s="18"/>
    </row>
    <row r="1102" spans="4:5" x14ac:dyDescent="0.15">
      <c r="D1102" s="18"/>
      <c r="E1102" s="18"/>
    </row>
    <row r="1103" spans="4:5" x14ac:dyDescent="0.15">
      <c r="D1103" s="18"/>
      <c r="E1103" s="18"/>
    </row>
    <row r="1104" spans="4:5" x14ac:dyDescent="0.15">
      <c r="D1104" s="18"/>
      <c r="E1104" s="18"/>
    </row>
    <row r="1105" spans="4:5" x14ac:dyDescent="0.15">
      <c r="D1105" s="18"/>
      <c r="E1105" s="18"/>
    </row>
    <row r="1106" spans="4:5" x14ac:dyDescent="0.15">
      <c r="D1106" s="18"/>
      <c r="E1106" s="18"/>
    </row>
    <row r="1107" spans="4:5" x14ac:dyDescent="0.15">
      <c r="D1107" s="18"/>
      <c r="E1107" s="18"/>
    </row>
    <row r="1108" spans="4:5" x14ac:dyDescent="0.15">
      <c r="D1108" s="18"/>
      <c r="E1108" s="18"/>
    </row>
    <row r="1109" spans="4:5" x14ac:dyDescent="0.15">
      <c r="D1109" s="18"/>
      <c r="E1109" s="18"/>
    </row>
    <row r="1110" spans="4:5" x14ac:dyDescent="0.15">
      <c r="D1110" s="18"/>
      <c r="E1110" s="18"/>
    </row>
    <row r="1111" spans="4:5" x14ac:dyDescent="0.15">
      <c r="D1111" s="18"/>
      <c r="E1111" s="18"/>
    </row>
    <row r="1112" spans="4:5" x14ac:dyDescent="0.15">
      <c r="D1112" s="18"/>
      <c r="E1112" s="18"/>
    </row>
    <row r="1113" spans="4:5" x14ac:dyDescent="0.15">
      <c r="D1113" s="18"/>
      <c r="E1113" s="18"/>
    </row>
    <row r="1114" spans="4:5" x14ac:dyDescent="0.15">
      <c r="D1114" s="18"/>
      <c r="E1114" s="18"/>
    </row>
    <row r="1115" spans="4:5" x14ac:dyDescent="0.15">
      <c r="D1115" s="18"/>
      <c r="E1115" s="18"/>
    </row>
    <row r="1116" spans="4:5" x14ac:dyDescent="0.15">
      <c r="D1116" s="18"/>
      <c r="E1116" s="18"/>
    </row>
    <row r="1117" spans="4:5" x14ac:dyDescent="0.15">
      <c r="D1117" s="18"/>
      <c r="E1117" s="18"/>
    </row>
    <row r="1118" spans="4:5" x14ac:dyDescent="0.15">
      <c r="D1118" s="18"/>
      <c r="E1118" s="18"/>
    </row>
    <row r="1119" spans="4:5" x14ac:dyDescent="0.15">
      <c r="D1119" s="18"/>
      <c r="E1119" s="18"/>
    </row>
    <row r="1120" spans="4:5" x14ac:dyDescent="0.15">
      <c r="D1120" s="18"/>
      <c r="E1120" s="18"/>
    </row>
    <row r="1121" spans="4:5" x14ac:dyDescent="0.15">
      <c r="D1121" s="18"/>
      <c r="E1121" s="18"/>
    </row>
    <row r="1122" spans="4:5" x14ac:dyDescent="0.15">
      <c r="D1122" s="18"/>
      <c r="E1122" s="18"/>
    </row>
    <row r="1123" spans="4:5" x14ac:dyDescent="0.15">
      <c r="D1123" s="18"/>
      <c r="E1123" s="18"/>
    </row>
    <row r="1124" spans="4:5" x14ac:dyDescent="0.15">
      <c r="D1124" s="18"/>
      <c r="E1124" s="18"/>
    </row>
    <row r="1125" spans="4:5" x14ac:dyDescent="0.15">
      <c r="D1125" s="18"/>
      <c r="E1125" s="18"/>
    </row>
    <row r="1126" spans="4:5" x14ac:dyDescent="0.15">
      <c r="D1126" s="18"/>
      <c r="E1126" s="18"/>
    </row>
    <row r="1127" spans="4:5" x14ac:dyDescent="0.15">
      <c r="D1127" s="18"/>
      <c r="E1127" s="18"/>
    </row>
    <row r="1128" spans="4:5" x14ac:dyDescent="0.15">
      <c r="D1128" s="18"/>
      <c r="E1128" s="18"/>
    </row>
    <row r="1129" spans="4:5" x14ac:dyDescent="0.15">
      <c r="D1129" s="18"/>
      <c r="E1129" s="18"/>
    </row>
    <row r="1130" spans="4:5" x14ac:dyDescent="0.15">
      <c r="D1130" s="18"/>
      <c r="E1130" s="18"/>
    </row>
    <row r="1131" spans="4:5" x14ac:dyDescent="0.15">
      <c r="D1131" s="18"/>
      <c r="E1131" s="18"/>
    </row>
    <row r="1132" spans="4:5" x14ac:dyDescent="0.15">
      <c r="D1132" s="18"/>
      <c r="E1132" s="18"/>
    </row>
    <row r="1133" spans="4:5" x14ac:dyDescent="0.15">
      <c r="D1133" s="18"/>
      <c r="E1133" s="18"/>
    </row>
    <row r="1134" spans="4:5" x14ac:dyDescent="0.15">
      <c r="D1134" s="18"/>
      <c r="E1134" s="18"/>
    </row>
    <row r="1135" spans="4:5" x14ac:dyDescent="0.15">
      <c r="D1135" s="18"/>
      <c r="E1135" s="18"/>
    </row>
    <row r="1136" spans="4:5" x14ac:dyDescent="0.15">
      <c r="D1136" s="18"/>
      <c r="E1136" s="18"/>
    </row>
    <row r="1137" spans="4:5" x14ac:dyDescent="0.15">
      <c r="D1137" s="18"/>
      <c r="E1137" s="18"/>
    </row>
    <row r="1138" spans="4:5" x14ac:dyDescent="0.15">
      <c r="D1138" s="18"/>
      <c r="E1138" s="18"/>
    </row>
    <row r="1139" spans="4:5" x14ac:dyDescent="0.15">
      <c r="D1139" s="18"/>
      <c r="E1139" s="18"/>
    </row>
    <row r="1140" spans="4:5" x14ac:dyDescent="0.15">
      <c r="D1140" s="18"/>
      <c r="E1140" s="18"/>
    </row>
    <row r="1141" spans="4:5" x14ac:dyDescent="0.15">
      <c r="D1141" s="18"/>
      <c r="E1141" s="18"/>
    </row>
    <row r="1142" spans="4:5" x14ac:dyDescent="0.15">
      <c r="D1142" s="18"/>
      <c r="E1142" s="18"/>
    </row>
    <row r="1143" spans="4:5" x14ac:dyDescent="0.15">
      <c r="D1143" s="18"/>
      <c r="E1143" s="18"/>
    </row>
    <row r="1144" spans="4:5" x14ac:dyDescent="0.15">
      <c r="D1144" s="18"/>
      <c r="E1144" s="18"/>
    </row>
    <row r="1145" spans="4:5" x14ac:dyDescent="0.15">
      <c r="D1145" s="18"/>
      <c r="E1145" s="18"/>
    </row>
    <row r="1146" spans="4:5" x14ac:dyDescent="0.15">
      <c r="D1146" s="18"/>
      <c r="E1146" s="18"/>
    </row>
    <row r="1147" spans="4:5" x14ac:dyDescent="0.15">
      <c r="D1147" s="18"/>
      <c r="E1147" s="18"/>
    </row>
    <row r="1148" spans="4:5" x14ac:dyDescent="0.15">
      <c r="D1148" s="18"/>
      <c r="E1148" s="18"/>
    </row>
    <row r="1149" spans="4:5" x14ac:dyDescent="0.15">
      <c r="D1149" s="18"/>
      <c r="E1149" s="18"/>
    </row>
    <row r="1150" spans="4:5" x14ac:dyDescent="0.15">
      <c r="D1150" s="18"/>
      <c r="E1150" s="18"/>
    </row>
    <row r="1151" spans="4:5" x14ac:dyDescent="0.15">
      <c r="D1151" s="18"/>
      <c r="E1151" s="18"/>
    </row>
    <row r="1152" spans="4:5" x14ac:dyDescent="0.15">
      <c r="D1152" s="18"/>
      <c r="E1152" s="18"/>
    </row>
    <row r="1153" spans="4:5" x14ac:dyDescent="0.15">
      <c r="D1153" s="18"/>
      <c r="E1153" s="18"/>
    </row>
    <row r="1154" spans="4:5" x14ac:dyDescent="0.15">
      <c r="D1154" s="18"/>
      <c r="E1154" s="18"/>
    </row>
    <row r="1155" spans="4:5" x14ac:dyDescent="0.15">
      <c r="D1155" s="18"/>
      <c r="E1155" s="18"/>
    </row>
    <row r="1156" spans="4:5" x14ac:dyDescent="0.15">
      <c r="D1156" s="18"/>
      <c r="E1156" s="18"/>
    </row>
    <row r="1157" spans="4:5" x14ac:dyDescent="0.15">
      <c r="D1157" s="18"/>
      <c r="E1157" s="18"/>
    </row>
    <row r="1158" spans="4:5" x14ac:dyDescent="0.15">
      <c r="D1158" s="18"/>
      <c r="E1158" s="18"/>
    </row>
    <row r="1159" spans="4:5" x14ac:dyDescent="0.15">
      <c r="D1159" s="18"/>
      <c r="E1159" s="18"/>
    </row>
    <row r="1160" spans="4:5" x14ac:dyDescent="0.15">
      <c r="D1160" s="18"/>
      <c r="E1160" s="18"/>
    </row>
    <row r="1161" spans="4:5" x14ac:dyDescent="0.15">
      <c r="D1161" s="18"/>
      <c r="E1161" s="18"/>
    </row>
    <row r="1162" spans="4:5" x14ac:dyDescent="0.15">
      <c r="D1162" s="18"/>
      <c r="E1162" s="18"/>
    </row>
    <row r="1163" spans="4:5" x14ac:dyDescent="0.15">
      <c r="D1163" s="18"/>
      <c r="E1163" s="18"/>
    </row>
    <row r="1164" spans="4:5" x14ac:dyDescent="0.15">
      <c r="D1164" s="18"/>
      <c r="E1164" s="18"/>
    </row>
    <row r="1165" spans="4:5" x14ac:dyDescent="0.15">
      <c r="D1165" s="18"/>
      <c r="E1165" s="18"/>
    </row>
    <row r="1166" spans="4:5" x14ac:dyDescent="0.15">
      <c r="D1166" s="18"/>
      <c r="E1166" s="18"/>
    </row>
    <row r="1167" spans="4:5" x14ac:dyDescent="0.15">
      <c r="D1167" s="18"/>
      <c r="E1167" s="18"/>
    </row>
    <row r="1168" spans="4:5" x14ac:dyDescent="0.15">
      <c r="D1168" s="18"/>
      <c r="E1168" s="18"/>
    </row>
    <row r="1169" spans="4:5" x14ac:dyDescent="0.15">
      <c r="D1169" s="18"/>
      <c r="E1169" s="18"/>
    </row>
    <row r="1170" spans="4:5" x14ac:dyDescent="0.15">
      <c r="D1170" s="18"/>
      <c r="E1170" s="18"/>
    </row>
    <row r="1171" spans="4:5" x14ac:dyDescent="0.15">
      <c r="D1171" s="18"/>
      <c r="E1171" s="18"/>
    </row>
    <row r="1172" spans="4:5" x14ac:dyDescent="0.15">
      <c r="D1172" s="18"/>
      <c r="E1172" s="18"/>
    </row>
    <row r="1173" spans="4:5" x14ac:dyDescent="0.15">
      <c r="D1173" s="18"/>
      <c r="E1173" s="18"/>
    </row>
    <row r="1174" spans="4:5" x14ac:dyDescent="0.15">
      <c r="D1174" s="18"/>
      <c r="E1174" s="18"/>
    </row>
    <row r="1175" spans="4:5" x14ac:dyDescent="0.15">
      <c r="D1175" s="18"/>
      <c r="E1175" s="18"/>
    </row>
    <row r="1176" spans="4:5" x14ac:dyDescent="0.15">
      <c r="D1176" s="18"/>
      <c r="E1176" s="18"/>
    </row>
    <row r="1177" spans="4:5" x14ac:dyDescent="0.15">
      <c r="D1177" s="18"/>
      <c r="E1177" s="18"/>
    </row>
    <row r="1178" spans="4:5" x14ac:dyDescent="0.15">
      <c r="D1178" s="18"/>
      <c r="E1178" s="18"/>
    </row>
    <row r="1179" spans="4:5" x14ac:dyDescent="0.15">
      <c r="D1179" s="18"/>
      <c r="E1179" s="18"/>
    </row>
    <row r="1180" spans="4:5" x14ac:dyDescent="0.15">
      <c r="D1180" s="18"/>
      <c r="E1180" s="18"/>
    </row>
    <row r="1181" spans="4:5" x14ac:dyDescent="0.15">
      <c r="D1181" s="18"/>
      <c r="E1181" s="18"/>
    </row>
    <row r="1182" spans="4:5" x14ac:dyDescent="0.15">
      <c r="D1182" s="18"/>
      <c r="E1182" s="18"/>
    </row>
    <row r="1183" spans="4:5" x14ac:dyDescent="0.15">
      <c r="D1183" s="18"/>
      <c r="E1183" s="18"/>
    </row>
    <row r="1184" spans="4:5" x14ac:dyDescent="0.15">
      <c r="D1184" s="18"/>
      <c r="E1184" s="18"/>
    </row>
    <row r="1185" spans="4:5" x14ac:dyDescent="0.15">
      <c r="D1185" s="18"/>
      <c r="E1185" s="18"/>
    </row>
    <row r="1186" spans="4:5" x14ac:dyDescent="0.15">
      <c r="D1186" s="18"/>
      <c r="E1186" s="18"/>
    </row>
    <row r="1187" spans="4:5" x14ac:dyDescent="0.15">
      <c r="D1187" s="18"/>
      <c r="E1187" s="18"/>
    </row>
    <row r="1188" spans="4:5" x14ac:dyDescent="0.15">
      <c r="D1188" s="18"/>
      <c r="E1188" s="18"/>
    </row>
    <row r="1189" spans="4:5" x14ac:dyDescent="0.15">
      <c r="D1189" s="18"/>
      <c r="E1189" s="18"/>
    </row>
    <row r="1190" spans="4:5" x14ac:dyDescent="0.15">
      <c r="D1190" s="18"/>
      <c r="E1190" s="18"/>
    </row>
    <row r="1191" spans="4:5" x14ac:dyDescent="0.15">
      <c r="D1191" s="18"/>
      <c r="E1191" s="18"/>
    </row>
    <row r="1192" spans="4:5" x14ac:dyDescent="0.15">
      <c r="D1192" s="18"/>
      <c r="E1192" s="18"/>
    </row>
    <row r="1193" spans="4:5" x14ac:dyDescent="0.15">
      <c r="D1193" s="18"/>
      <c r="E1193" s="18"/>
    </row>
    <row r="1194" spans="4:5" x14ac:dyDescent="0.15">
      <c r="D1194" s="18"/>
      <c r="E1194" s="18"/>
    </row>
    <row r="1195" spans="4:5" x14ac:dyDescent="0.15">
      <c r="D1195" s="18"/>
      <c r="E1195" s="18"/>
    </row>
    <row r="1196" spans="4:5" x14ac:dyDescent="0.15">
      <c r="D1196" s="18"/>
      <c r="E1196" s="18"/>
    </row>
    <row r="1197" spans="4:5" x14ac:dyDescent="0.15">
      <c r="D1197" s="18"/>
      <c r="E1197" s="18"/>
    </row>
    <row r="1198" spans="4:5" x14ac:dyDescent="0.15">
      <c r="D1198" s="18"/>
      <c r="E1198" s="18"/>
    </row>
    <row r="1199" spans="4:5" x14ac:dyDescent="0.15">
      <c r="D1199" s="18"/>
      <c r="E1199" s="18"/>
    </row>
    <row r="1200" spans="4:5" x14ac:dyDescent="0.15">
      <c r="D1200" s="18"/>
      <c r="E1200" s="18"/>
    </row>
    <row r="1201" spans="4:5" x14ac:dyDescent="0.15">
      <c r="D1201" s="18"/>
      <c r="E1201" s="18"/>
    </row>
    <row r="1202" spans="4:5" x14ac:dyDescent="0.15">
      <c r="D1202" s="18"/>
      <c r="E1202" s="18"/>
    </row>
    <row r="1203" spans="4:5" x14ac:dyDescent="0.15">
      <c r="D1203" s="18"/>
      <c r="E1203" s="18"/>
    </row>
    <row r="1204" spans="4:5" x14ac:dyDescent="0.15">
      <c r="D1204" s="18"/>
      <c r="E1204" s="18"/>
    </row>
    <row r="1205" spans="4:5" x14ac:dyDescent="0.15">
      <c r="D1205" s="18"/>
      <c r="E1205" s="18"/>
    </row>
    <row r="1206" spans="4:5" x14ac:dyDescent="0.15">
      <c r="D1206" s="18"/>
      <c r="E1206" s="18"/>
    </row>
    <row r="1207" spans="4:5" x14ac:dyDescent="0.15">
      <c r="D1207" s="18"/>
      <c r="E1207" s="18"/>
    </row>
    <row r="1208" spans="4:5" x14ac:dyDescent="0.15">
      <c r="D1208" s="18"/>
      <c r="E1208" s="18"/>
    </row>
    <row r="1209" spans="4:5" x14ac:dyDescent="0.15">
      <c r="D1209" s="18"/>
      <c r="E1209" s="18"/>
    </row>
    <row r="1210" spans="4:5" x14ac:dyDescent="0.15">
      <c r="D1210" s="18"/>
      <c r="E1210" s="18"/>
    </row>
    <row r="1211" spans="4:5" x14ac:dyDescent="0.15">
      <c r="D1211" s="18"/>
      <c r="E1211" s="18"/>
    </row>
    <row r="1212" spans="4:5" x14ac:dyDescent="0.15">
      <c r="D1212" s="18"/>
      <c r="E1212" s="18"/>
    </row>
    <row r="1213" spans="4:5" x14ac:dyDescent="0.15">
      <c r="D1213" s="18"/>
      <c r="E1213" s="18"/>
    </row>
    <row r="1214" spans="4:5" x14ac:dyDescent="0.15">
      <c r="D1214" s="18"/>
      <c r="E1214" s="18"/>
    </row>
    <row r="1215" spans="4:5" x14ac:dyDescent="0.15">
      <c r="D1215" s="18"/>
      <c r="E1215" s="18"/>
    </row>
    <row r="1216" spans="4:5" x14ac:dyDescent="0.15">
      <c r="D1216" s="18"/>
      <c r="E1216" s="18"/>
    </row>
    <row r="1217" spans="4:5" x14ac:dyDescent="0.15">
      <c r="D1217" s="18"/>
      <c r="E1217" s="18"/>
    </row>
    <row r="1218" spans="4:5" x14ac:dyDescent="0.15">
      <c r="D1218" s="18"/>
      <c r="E1218" s="18"/>
    </row>
    <row r="1219" spans="4:5" x14ac:dyDescent="0.15">
      <c r="D1219" s="18"/>
      <c r="E1219" s="18"/>
    </row>
    <row r="1220" spans="4:5" x14ac:dyDescent="0.15">
      <c r="D1220" s="18"/>
      <c r="E1220" s="18"/>
    </row>
    <row r="1221" spans="4:5" x14ac:dyDescent="0.15">
      <c r="D1221" s="18"/>
      <c r="E1221" s="18"/>
    </row>
    <row r="1222" spans="4:5" x14ac:dyDescent="0.15">
      <c r="D1222" s="18"/>
      <c r="E1222" s="18"/>
    </row>
    <row r="1223" spans="4:5" x14ac:dyDescent="0.15">
      <c r="D1223" s="18"/>
      <c r="E1223" s="18"/>
    </row>
    <row r="1224" spans="4:5" x14ac:dyDescent="0.15">
      <c r="D1224" s="18"/>
      <c r="E1224" s="18"/>
    </row>
    <row r="1225" spans="4:5" x14ac:dyDescent="0.15">
      <c r="D1225" s="18"/>
      <c r="E1225" s="18"/>
    </row>
    <row r="1226" spans="4:5" x14ac:dyDescent="0.15">
      <c r="D1226" s="18"/>
      <c r="E1226" s="18"/>
    </row>
    <row r="1227" spans="4:5" x14ac:dyDescent="0.15">
      <c r="D1227" s="18"/>
      <c r="E1227" s="18"/>
    </row>
    <row r="1228" spans="4:5" x14ac:dyDescent="0.15">
      <c r="D1228" s="18"/>
      <c r="E1228" s="18"/>
    </row>
    <row r="1229" spans="4:5" x14ac:dyDescent="0.15">
      <c r="D1229" s="18"/>
      <c r="E1229" s="18"/>
    </row>
    <row r="1230" spans="4:5" x14ac:dyDescent="0.15">
      <c r="D1230" s="18"/>
      <c r="E1230" s="18"/>
    </row>
    <row r="1231" spans="4:5" x14ac:dyDescent="0.15">
      <c r="D1231" s="18"/>
      <c r="E1231" s="18"/>
    </row>
    <row r="1232" spans="4:5" x14ac:dyDescent="0.15">
      <c r="D1232" s="18"/>
      <c r="E1232" s="18"/>
    </row>
    <row r="1233" spans="4:5" x14ac:dyDescent="0.15">
      <c r="D1233" s="18"/>
      <c r="E1233" s="18"/>
    </row>
    <row r="1234" spans="4:5" x14ac:dyDescent="0.15">
      <c r="D1234" s="18"/>
      <c r="E1234" s="18"/>
    </row>
    <row r="1235" spans="4:5" x14ac:dyDescent="0.15">
      <c r="D1235" s="18"/>
      <c r="E1235" s="18"/>
    </row>
    <row r="1236" spans="4:5" x14ac:dyDescent="0.15">
      <c r="D1236" s="18"/>
      <c r="E1236" s="18"/>
    </row>
    <row r="1237" spans="4:5" x14ac:dyDescent="0.15">
      <c r="D1237" s="18"/>
      <c r="E1237" s="18"/>
    </row>
    <row r="1238" spans="4:5" x14ac:dyDescent="0.15">
      <c r="D1238" s="18"/>
      <c r="E1238" s="18"/>
    </row>
    <row r="1239" spans="4:5" x14ac:dyDescent="0.15">
      <c r="D1239" s="18"/>
      <c r="E1239" s="18"/>
    </row>
    <row r="1240" spans="4:5" x14ac:dyDescent="0.15">
      <c r="D1240" s="18"/>
      <c r="E1240" s="18"/>
    </row>
    <row r="1241" spans="4:5" x14ac:dyDescent="0.15">
      <c r="D1241" s="18"/>
      <c r="E1241" s="18"/>
    </row>
    <row r="1242" spans="4:5" x14ac:dyDescent="0.15">
      <c r="D1242" s="18"/>
      <c r="E1242" s="18"/>
    </row>
    <row r="1243" spans="4:5" x14ac:dyDescent="0.15">
      <c r="D1243" s="18"/>
      <c r="E1243" s="18"/>
    </row>
    <row r="1244" spans="4:5" x14ac:dyDescent="0.15">
      <c r="D1244" s="18"/>
      <c r="E1244" s="18"/>
    </row>
    <row r="1245" spans="4:5" x14ac:dyDescent="0.15">
      <c r="D1245" s="18"/>
      <c r="E1245" s="18"/>
    </row>
    <row r="1246" spans="4:5" x14ac:dyDescent="0.15">
      <c r="D1246" s="18"/>
      <c r="E1246" s="18"/>
    </row>
    <row r="1247" spans="4:5" x14ac:dyDescent="0.15">
      <c r="D1247" s="18"/>
      <c r="E1247" s="18"/>
    </row>
    <row r="1248" spans="4:5" x14ac:dyDescent="0.15">
      <c r="D1248" s="18"/>
      <c r="E1248" s="18"/>
    </row>
    <row r="1249" spans="4:5" x14ac:dyDescent="0.15">
      <c r="D1249" s="18"/>
      <c r="E1249" s="18"/>
    </row>
    <row r="1250" spans="4:5" x14ac:dyDescent="0.15">
      <c r="D1250" s="18"/>
      <c r="E1250" s="18"/>
    </row>
    <row r="1251" spans="4:5" x14ac:dyDescent="0.15">
      <c r="D1251" s="18"/>
      <c r="E1251" s="18"/>
    </row>
    <row r="1252" spans="4:5" x14ac:dyDescent="0.15">
      <c r="D1252" s="18"/>
      <c r="E1252" s="18"/>
    </row>
    <row r="1253" spans="4:5" x14ac:dyDescent="0.15">
      <c r="D1253" s="18"/>
      <c r="E1253" s="18"/>
    </row>
    <row r="1254" spans="4:5" x14ac:dyDescent="0.15">
      <c r="D1254" s="18"/>
      <c r="E1254" s="18"/>
    </row>
    <row r="1255" spans="4:5" x14ac:dyDescent="0.15">
      <c r="D1255" s="18"/>
      <c r="E1255" s="18"/>
    </row>
    <row r="1256" spans="4:5" x14ac:dyDescent="0.15">
      <c r="D1256" s="18"/>
      <c r="E1256" s="18"/>
    </row>
    <row r="1257" spans="4:5" x14ac:dyDescent="0.15">
      <c r="D1257" s="18"/>
      <c r="E1257" s="18"/>
    </row>
    <row r="1258" spans="4:5" x14ac:dyDescent="0.15">
      <c r="D1258" s="18"/>
      <c r="E1258" s="18"/>
    </row>
    <row r="1259" spans="4:5" x14ac:dyDescent="0.15">
      <c r="D1259" s="18"/>
      <c r="E1259" s="18"/>
    </row>
    <row r="1260" spans="4:5" x14ac:dyDescent="0.15">
      <c r="D1260" s="18"/>
      <c r="E1260" s="18"/>
    </row>
    <row r="1261" spans="4:5" x14ac:dyDescent="0.15">
      <c r="D1261" s="18"/>
      <c r="E1261" s="18"/>
    </row>
    <row r="1262" spans="4:5" x14ac:dyDescent="0.15">
      <c r="D1262" s="18"/>
      <c r="E1262" s="18"/>
    </row>
    <row r="1263" spans="4:5" x14ac:dyDescent="0.15">
      <c r="D1263" s="18"/>
      <c r="E1263" s="18"/>
    </row>
    <row r="1264" spans="4:5" x14ac:dyDescent="0.15">
      <c r="D1264" s="18"/>
      <c r="E1264" s="18"/>
    </row>
    <row r="1265" spans="4:5" x14ac:dyDescent="0.15">
      <c r="D1265" s="18"/>
      <c r="E1265" s="18"/>
    </row>
    <row r="1266" spans="4:5" x14ac:dyDescent="0.15">
      <c r="D1266" s="18"/>
      <c r="E1266" s="18"/>
    </row>
    <row r="1267" spans="4:5" x14ac:dyDescent="0.15">
      <c r="D1267" s="18"/>
      <c r="E1267" s="18"/>
    </row>
    <row r="1268" spans="4:5" x14ac:dyDescent="0.15">
      <c r="D1268" s="18"/>
      <c r="E1268" s="18"/>
    </row>
    <row r="1269" spans="4:5" x14ac:dyDescent="0.15">
      <c r="D1269" s="18"/>
      <c r="E1269" s="18"/>
    </row>
    <row r="1270" spans="4:5" x14ac:dyDescent="0.15">
      <c r="D1270" s="18"/>
      <c r="E1270" s="18"/>
    </row>
    <row r="1271" spans="4:5" x14ac:dyDescent="0.15">
      <c r="D1271" s="18"/>
      <c r="E1271" s="18"/>
    </row>
    <row r="1272" spans="4:5" x14ac:dyDescent="0.15">
      <c r="D1272" s="18"/>
      <c r="E1272" s="18"/>
    </row>
    <row r="1273" spans="4:5" x14ac:dyDescent="0.15">
      <c r="D1273" s="18"/>
      <c r="E1273" s="18"/>
    </row>
    <row r="1274" spans="4:5" x14ac:dyDescent="0.15">
      <c r="D1274" s="18"/>
      <c r="E1274" s="18"/>
    </row>
    <row r="1275" spans="4:5" x14ac:dyDescent="0.15">
      <c r="D1275" s="18"/>
      <c r="E1275" s="18"/>
    </row>
    <row r="1276" spans="4:5" x14ac:dyDescent="0.15">
      <c r="D1276" s="18"/>
      <c r="E1276" s="18"/>
    </row>
    <row r="1277" spans="4:5" x14ac:dyDescent="0.15">
      <c r="D1277" s="18"/>
      <c r="E1277" s="18"/>
    </row>
    <row r="1278" spans="4:5" x14ac:dyDescent="0.15">
      <c r="D1278" s="18"/>
      <c r="E1278" s="18"/>
    </row>
    <row r="1279" spans="4:5" x14ac:dyDescent="0.15">
      <c r="D1279" s="18"/>
      <c r="E1279" s="18"/>
    </row>
    <row r="1280" spans="4:5" x14ac:dyDescent="0.15">
      <c r="D1280" s="18"/>
      <c r="E1280" s="18"/>
    </row>
    <row r="1281" spans="4:5" x14ac:dyDescent="0.15">
      <c r="D1281" s="18"/>
      <c r="E1281" s="18"/>
    </row>
    <row r="1282" spans="4:5" x14ac:dyDescent="0.15">
      <c r="D1282" s="18"/>
      <c r="E1282" s="18"/>
    </row>
    <row r="1283" spans="4:5" x14ac:dyDescent="0.15">
      <c r="D1283" s="18"/>
      <c r="E1283" s="18"/>
    </row>
    <row r="1284" spans="4:5" x14ac:dyDescent="0.15">
      <c r="D1284" s="18"/>
      <c r="E1284" s="18"/>
    </row>
    <row r="1285" spans="4:5" x14ac:dyDescent="0.15">
      <c r="D1285" s="18"/>
      <c r="E1285" s="18"/>
    </row>
    <row r="1286" spans="4:5" x14ac:dyDescent="0.15">
      <c r="D1286" s="18"/>
      <c r="E1286" s="18"/>
    </row>
    <row r="1287" spans="4:5" x14ac:dyDescent="0.15">
      <c r="D1287" s="18"/>
      <c r="E1287" s="18"/>
    </row>
    <row r="1288" spans="4:5" x14ac:dyDescent="0.15">
      <c r="D1288" s="18"/>
      <c r="E1288" s="18"/>
    </row>
    <row r="1289" spans="4:5" x14ac:dyDescent="0.15">
      <c r="D1289" s="18"/>
      <c r="E1289" s="18"/>
    </row>
    <row r="1290" spans="4:5" x14ac:dyDescent="0.15">
      <c r="D1290" s="18"/>
      <c r="E1290" s="18"/>
    </row>
    <row r="1291" spans="4:5" x14ac:dyDescent="0.15">
      <c r="D1291" s="18"/>
      <c r="E1291" s="18"/>
    </row>
    <row r="1292" spans="4:5" x14ac:dyDescent="0.15">
      <c r="D1292" s="18"/>
      <c r="E1292" s="18"/>
    </row>
    <row r="1293" spans="4:5" x14ac:dyDescent="0.15">
      <c r="D1293" s="18"/>
      <c r="E1293" s="18"/>
    </row>
    <row r="1294" spans="4:5" x14ac:dyDescent="0.15">
      <c r="D1294" s="18"/>
      <c r="E1294" s="18"/>
    </row>
    <row r="1295" spans="4:5" x14ac:dyDescent="0.15">
      <c r="D1295" s="18"/>
      <c r="E1295" s="18"/>
    </row>
    <row r="1296" spans="4:5" x14ac:dyDescent="0.15">
      <c r="D1296" s="18"/>
      <c r="E1296" s="18"/>
    </row>
    <row r="1297" spans="4:5" x14ac:dyDescent="0.15">
      <c r="D1297" s="18"/>
      <c r="E1297" s="18"/>
    </row>
    <row r="1298" spans="4:5" x14ac:dyDescent="0.15">
      <c r="D1298" s="18"/>
      <c r="E1298" s="18"/>
    </row>
    <row r="1299" spans="4:5" x14ac:dyDescent="0.15">
      <c r="D1299" s="18"/>
      <c r="E1299" s="18"/>
    </row>
    <row r="1300" spans="4:5" x14ac:dyDescent="0.15">
      <c r="D1300" s="18"/>
      <c r="E1300" s="18"/>
    </row>
    <row r="1301" spans="4:5" x14ac:dyDescent="0.15">
      <c r="D1301" s="18"/>
      <c r="E1301" s="18"/>
    </row>
    <row r="1302" spans="4:5" x14ac:dyDescent="0.15">
      <c r="D1302" s="18"/>
      <c r="E1302" s="18"/>
    </row>
    <row r="1303" spans="4:5" x14ac:dyDescent="0.15">
      <c r="D1303" s="18"/>
      <c r="E1303" s="18"/>
    </row>
    <row r="1304" spans="4:5" x14ac:dyDescent="0.15">
      <c r="D1304" s="18"/>
      <c r="E1304" s="18"/>
    </row>
    <row r="1305" spans="4:5" x14ac:dyDescent="0.15">
      <c r="D1305" s="18"/>
      <c r="E1305" s="18"/>
    </row>
    <row r="1306" spans="4:5" x14ac:dyDescent="0.15">
      <c r="D1306" s="18"/>
      <c r="E1306" s="18"/>
    </row>
    <row r="1307" spans="4:5" x14ac:dyDescent="0.15">
      <c r="D1307" s="18"/>
      <c r="E1307" s="18"/>
    </row>
    <row r="1308" spans="4:5" x14ac:dyDescent="0.15">
      <c r="D1308" s="18"/>
      <c r="E1308" s="18"/>
    </row>
    <row r="1309" spans="4:5" x14ac:dyDescent="0.15">
      <c r="D1309" s="18"/>
      <c r="E1309" s="18"/>
    </row>
    <row r="1310" spans="4:5" x14ac:dyDescent="0.15">
      <c r="D1310" s="18"/>
      <c r="E1310" s="18"/>
    </row>
    <row r="1311" spans="4:5" x14ac:dyDescent="0.15">
      <c r="D1311" s="18"/>
      <c r="E1311" s="18"/>
    </row>
    <row r="1312" spans="4:5" x14ac:dyDescent="0.15">
      <c r="D1312" s="18"/>
      <c r="E1312" s="18"/>
    </row>
    <row r="1313" spans="4:5" x14ac:dyDescent="0.15">
      <c r="D1313" s="18"/>
      <c r="E1313" s="18"/>
    </row>
    <row r="1314" spans="4:5" x14ac:dyDescent="0.15">
      <c r="D1314" s="18"/>
      <c r="E1314" s="18"/>
    </row>
    <row r="1315" spans="4:5" x14ac:dyDescent="0.15">
      <c r="D1315" s="18"/>
      <c r="E1315" s="18"/>
    </row>
    <row r="1316" spans="4:5" x14ac:dyDescent="0.15">
      <c r="D1316" s="18"/>
      <c r="E1316" s="18"/>
    </row>
    <row r="1317" spans="4:5" x14ac:dyDescent="0.15">
      <c r="D1317" s="18"/>
      <c r="E1317" s="18"/>
    </row>
    <row r="1318" spans="4:5" x14ac:dyDescent="0.15">
      <c r="D1318" s="18"/>
      <c r="E1318" s="18"/>
    </row>
    <row r="1319" spans="4:5" x14ac:dyDescent="0.15">
      <c r="D1319" s="18"/>
      <c r="E1319" s="18"/>
    </row>
    <row r="1320" spans="4:5" x14ac:dyDescent="0.15">
      <c r="D1320" s="18"/>
      <c r="E1320" s="18"/>
    </row>
    <row r="1321" spans="4:5" x14ac:dyDescent="0.15">
      <c r="D1321" s="18"/>
      <c r="E1321" s="18"/>
    </row>
    <row r="1322" spans="4:5" x14ac:dyDescent="0.15">
      <c r="D1322" s="18"/>
      <c r="E1322" s="18"/>
    </row>
    <row r="1323" spans="4:5" x14ac:dyDescent="0.15">
      <c r="D1323" s="18"/>
      <c r="E1323" s="18"/>
    </row>
    <row r="1324" spans="4:5" x14ac:dyDescent="0.15">
      <c r="D1324" s="18"/>
      <c r="E1324" s="18"/>
    </row>
    <row r="1325" spans="4:5" x14ac:dyDescent="0.15">
      <c r="D1325" s="18"/>
      <c r="E1325" s="18"/>
    </row>
    <row r="1326" spans="4:5" x14ac:dyDescent="0.15">
      <c r="D1326" s="18"/>
      <c r="E1326" s="18"/>
    </row>
    <row r="1327" spans="4:5" x14ac:dyDescent="0.15">
      <c r="D1327" s="18"/>
      <c r="E1327" s="18"/>
    </row>
    <row r="1328" spans="4:5" x14ac:dyDescent="0.15">
      <c r="D1328" s="18"/>
      <c r="E1328" s="18"/>
    </row>
    <row r="1329" spans="4:5" x14ac:dyDescent="0.15">
      <c r="D1329" s="18"/>
      <c r="E1329" s="18"/>
    </row>
    <row r="1330" spans="4:5" x14ac:dyDescent="0.15">
      <c r="D1330" s="18"/>
      <c r="E1330" s="18"/>
    </row>
    <row r="1331" spans="4:5" x14ac:dyDescent="0.15">
      <c r="D1331" s="18"/>
      <c r="E1331" s="18"/>
    </row>
    <row r="1332" spans="4:5" x14ac:dyDescent="0.15">
      <c r="D1332" s="18"/>
      <c r="E1332" s="18"/>
    </row>
    <row r="1333" spans="4:5" x14ac:dyDescent="0.15">
      <c r="D1333" s="18"/>
      <c r="E1333" s="18"/>
    </row>
    <row r="1334" spans="4:5" x14ac:dyDescent="0.15">
      <c r="D1334" s="18"/>
      <c r="E1334" s="18"/>
    </row>
    <row r="1335" spans="4:5" x14ac:dyDescent="0.15">
      <c r="D1335" s="18"/>
      <c r="E1335" s="18"/>
    </row>
    <row r="1336" spans="4:5" x14ac:dyDescent="0.15">
      <c r="D1336" s="18"/>
      <c r="E1336" s="18"/>
    </row>
    <row r="1337" spans="4:5" x14ac:dyDescent="0.15">
      <c r="D1337" s="18"/>
      <c r="E1337" s="18"/>
    </row>
    <row r="1338" spans="4:5" x14ac:dyDescent="0.15">
      <c r="D1338" s="18"/>
      <c r="E1338" s="18"/>
    </row>
    <row r="1339" spans="4:5" x14ac:dyDescent="0.15">
      <c r="D1339" s="18"/>
      <c r="E1339" s="18"/>
    </row>
    <row r="1340" spans="4:5" x14ac:dyDescent="0.15">
      <c r="D1340" s="18"/>
      <c r="E1340" s="18"/>
    </row>
    <row r="1341" spans="4:5" x14ac:dyDescent="0.15">
      <c r="D1341" s="18"/>
      <c r="E1341" s="18"/>
    </row>
    <row r="1342" spans="4:5" x14ac:dyDescent="0.15">
      <c r="D1342" s="18"/>
      <c r="E1342" s="18"/>
    </row>
    <row r="1343" spans="4:5" x14ac:dyDescent="0.15">
      <c r="D1343" s="18"/>
      <c r="E1343" s="18"/>
    </row>
    <row r="1344" spans="4:5" x14ac:dyDescent="0.15">
      <c r="D1344" s="18"/>
      <c r="E1344" s="18"/>
    </row>
    <row r="1345" spans="4:5" x14ac:dyDescent="0.15">
      <c r="D1345" s="18"/>
      <c r="E1345" s="18"/>
    </row>
    <row r="1346" spans="4:5" x14ac:dyDescent="0.15">
      <c r="D1346" s="18"/>
      <c r="E1346" s="18"/>
    </row>
    <row r="1347" spans="4:5" x14ac:dyDescent="0.15">
      <c r="D1347" s="18"/>
      <c r="E1347" s="18"/>
    </row>
    <row r="1348" spans="4:5" x14ac:dyDescent="0.15">
      <c r="D1348" s="18"/>
      <c r="E1348" s="18"/>
    </row>
    <row r="1349" spans="4:5" x14ac:dyDescent="0.15">
      <c r="D1349" s="18"/>
      <c r="E1349" s="18"/>
    </row>
    <row r="1350" spans="4:5" x14ac:dyDescent="0.15">
      <c r="D1350" s="18"/>
      <c r="E1350" s="18"/>
    </row>
    <row r="1351" spans="4:5" x14ac:dyDescent="0.15">
      <c r="D1351" s="18"/>
      <c r="E1351" s="18"/>
    </row>
    <row r="1352" spans="4:5" x14ac:dyDescent="0.15">
      <c r="D1352" s="18"/>
      <c r="E1352" s="18"/>
    </row>
    <row r="1353" spans="4:5" x14ac:dyDescent="0.15">
      <c r="D1353" s="18"/>
      <c r="E1353" s="18"/>
    </row>
    <row r="1354" spans="4:5" x14ac:dyDescent="0.15">
      <c r="D1354" s="18"/>
      <c r="E1354" s="18"/>
    </row>
    <row r="1355" spans="4:5" x14ac:dyDescent="0.15">
      <c r="D1355" s="18"/>
      <c r="E1355" s="18"/>
    </row>
    <row r="1356" spans="4:5" x14ac:dyDescent="0.15">
      <c r="D1356" s="18"/>
      <c r="E1356" s="18"/>
    </row>
    <row r="1357" spans="4:5" x14ac:dyDescent="0.15">
      <c r="D1357" s="18"/>
      <c r="E1357" s="18"/>
    </row>
    <row r="1358" spans="4:5" x14ac:dyDescent="0.15">
      <c r="D1358" s="18"/>
      <c r="E1358" s="18"/>
    </row>
    <row r="1359" spans="4:5" x14ac:dyDescent="0.15">
      <c r="D1359" s="18"/>
      <c r="E1359" s="18"/>
    </row>
    <row r="1360" spans="4:5" x14ac:dyDescent="0.15">
      <c r="D1360" s="18"/>
      <c r="E1360" s="18"/>
    </row>
    <row r="1361" spans="4:5" x14ac:dyDescent="0.15">
      <c r="D1361" s="18"/>
      <c r="E1361" s="18"/>
    </row>
    <row r="1362" spans="4:5" x14ac:dyDescent="0.15">
      <c r="D1362" s="18"/>
      <c r="E1362" s="18"/>
    </row>
    <row r="1363" spans="4:5" x14ac:dyDescent="0.15">
      <c r="D1363" s="18"/>
      <c r="E1363" s="18"/>
    </row>
    <row r="1364" spans="4:5" x14ac:dyDescent="0.15">
      <c r="D1364" s="18"/>
      <c r="E1364" s="18"/>
    </row>
    <row r="1365" spans="4:5" x14ac:dyDescent="0.15">
      <c r="D1365" s="18"/>
      <c r="E1365" s="18"/>
    </row>
    <row r="1366" spans="4:5" x14ac:dyDescent="0.15">
      <c r="D1366" s="18"/>
      <c r="E1366" s="18"/>
    </row>
    <row r="1367" spans="4:5" x14ac:dyDescent="0.15">
      <c r="D1367" s="18"/>
      <c r="E1367" s="18"/>
    </row>
    <row r="1368" spans="4:5" x14ac:dyDescent="0.15">
      <c r="D1368" s="18"/>
    </row>
    <row r="1369" spans="4:5" x14ac:dyDescent="0.15">
      <c r="D1369" s="18"/>
    </row>
    <row r="1370" spans="4:5" x14ac:dyDescent="0.15">
      <c r="D1370" s="18"/>
    </row>
    <row r="1371" spans="4:5" x14ac:dyDescent="0.15">
      <c r="D1371" s="18"/>
    </row>
    <row r="1372" spans="4:5" x14ac:dyDescent="0.15">
      <c r="D1372" s="18"/>
    </row>
    <row r="1373" spans="4:5" x14ac:dyDescent="0.15">
      <c r="D1373" s="18"/>
    </row>
    <row r="1374" spans="4:5" x14ac:dyDescent="0.15">
      <c r="D1374" s="18"/>
    </row>
    <row r="1375" spans="4:5" x14ac:dyDescent="0.15">
      <c r="D1375" s="18"/>
    </row>
    <row r="1376" spans="4:5" x14ac:dyDescent="0.15">
      <c r="D1376" s="18"/>
    </row>
    <row r="1377" spans="4:4" x14ac:dyDescent="0.15">
      <c r="D1377" s="18"/>
    </row>
    <row r="1378" spans="4:4" x14ac:dyDescent="0.15">
      <c r="D1378" s="18"/>
    </row>
    <row r="1379" spans="4:4" x14ac:dyDescent="0.15">
      <c r="D1379" s="18"/>
    </row>
    <row r="1380" spans="4:4" x14ac:dyDescent="0.15">
      <c r="D1380" s="18"/>
    </row>
    <row r="1381" spans="4:4" x14ac:dyDescent="0.15">
      <c r="D1381" s="18"/>
    </row>
    <row r="1382" spans="4:4" x14ac:dyDescent="0.15">
      <c r="D1382" s="18"/>
    </row>
    <row r="1383" spans="4:4" x14ac:dyDescent="0.15">
      <c r="D1383" s="18"/>
    </row>
    <row r="1384" spans="4:4" x14ac:dyDescent="0.15">
      <c r="D1384" s="18"/>
    </row>
    <row r="1385" spans="4:4" x14ac:dyDescent="0.15">
      <c r="D1385" s="18"/>
    </row>
    <row r="1386" spans="4:4" x14ac:dyDescent="0.15">
      <c r="D1386" s="18"/>
    </row>
    <row r="1387" spans="4:4" x14ac:dyDescent="0.15">
      <c r="D1387" s="18"/>
    </row>
    <row r="1388" spans="4:4" x14ac:dyDescent="0.15">
      <c r="D1388" s="18"/>
    </row>
    <row r="1389" spans="4:4" x14ac:dyDescent="0.15">
      <c r="D1389" s="18"/>
    </row>
    <row r="1390" spans="4:4" x14ac:dyDescent="0.15">
      <c r="D1390" s="18"/>
    </row>
    <row r="1391" spans="4:4" x14ac:dyDescent="0.15">
      <c r="D1391" s="18"/>
    </row>
    <row r="1392" spans="4:4" x14ac:dyDescent="0.15">
      <c r="D1392" s="18"/>
    </row>
    <row r="1393" spans="4:4" x14ac:dyDescent="0.15">
      <c r="D1393" s="18"/>
    </row>
    <row r="1394" spans="4:4" x14ac:dyDescent="0.15">
      <c r="D1394" s="18"/>
    </row>
    <row r="1395" spans="4:4" x14ac:dyDescent="0.15">
      <c r="D1395" s="18"/>
    </row>
    <row r="1396" spans="4:4" x14ac:dyDescent="0.15">
      <c r="D1396" s="18"/>
    </row>
    <row r="1397" spans="4:4" x14ac:dyDescent="0.15">
      <c r="D1397" s="18"/>
    </row>
    <row r="1398" spans="4:4" x14ac:dyDescent="0.15">
      <c r="D1398" s="18"/>
    </row>
  </sheetData>
  <sheetProtection selectLockedCells="1" selectUnlockedCells="1"/>
  <mergeCells count="4">
    <mergeCell ref="E178:G178"/>
    <mergeCell ref="E179:G179"/>
    <mergeCell ref="E192:G192"/>
    <mergeCell ref="B218:D218"/>
  </mergeCells>
  <phoneticPr fontId="39"/>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0"/>
  <sheetViews>
    <sheetView topLeftCell="A4" zoomScale="85" zoomScaleNormal="85" workbookViewId="0">
      <selection activeCell="A24" sqref="A24:D24"/>
    </sheetView>
  </sheetViews>
  <sheetFormatPr defaultRowHeight="13.5" x14ac:dyDescent="0.15"/>
  <cols>
    <col min="1" max="1" width="40.5" customWidth="1"/>
    <col min="2" max="2" width="16.875" customWidth="1"/>
    <col min="3" max="3" width="25" customWidth="1"/>
    <col min="4" max="4" width="5.5" customWidth="1"/>
    <col min="5" max="5" width="34.875" customWidth="1"/>
  </cols>
  <sheetData>
    <row r="1" spans="1:22" ht="14.25" thickBot="1" x14ac:dyDescent="0.2"/>
    <row r="2" spans="1:22" ht="15.75" x14ac:dyDescent="0.15">
      <c r="A2" s="199" t="s">
        <v>430</v>
      </c>
      <c r="B2" s="200"/>
      <c r="C2" s="200"/>
      <c r="D2" s="201"/>
      <c r="E2" s="142"/>
      <c r="F2" s="16"/>
      <c r="G2" s="16"/>
      <c r="H2" s="16"/>
      <c r="I2" s="16"/>
      <c r="J2" s="16"/>
      <c r="K2" s="16"/>
      <c r="L2" s="16"/>
      <c r="M2" s="16"/>
      <c r="N2" s="16"/>
      <c r="O2" s="16"/>
      <c r="P2" s="16"/>
      <c r="Q2" s="16"/>
      <c r="R2" s="16"/>
      <c r="S2" s="16"/>
      <c r="T2" s="16"/>
      <c r="U2" s="16"/>
      <c r="V2" s="16"/>
    </row>
    <row r="3" spans="1:22" ht="16.5" x14ac:dyDescent="0.15">
      <c r="A3" s="22" t="s">
        <v>218</v>
      </c>
      <c r="B3" s="5" t="s">
        <v>131</v>
      </c>
      <c r="C3" s="28">
        <f>'DESIGN INPUTS AND CALCULATIONS'!C32</f>
        <v>390</v>
      </c>
      <c r="D3" s="27" t="s">
        <v>7</v>
      </c>
      <c r="E3" s="27"/>
      <c r="F3" s="16"/>
      <c r="G3" s="16"/>
      <c r="H3" s="16"/>
      <c r="I3" s="16"/>
      <c r="J3" s="16"/>
      <c r="K3" s="16"/>
      <c r="L3" s="16"/>
      <c r="M3" s="16"/>
      <c r="N3" s="16"/>
      <c r="O3" s="16"/>
      <c r="P3" s="16"/>
      <c r="Q3" s="16"/>
      <c r="R3" s="16"/>
      <c r="S3" s="16"/>
      <c r="T3" s="16"/>
      <c r="U3" s="16"/>
      <c r="V3" s="16"/>
    </row>
    <row r="4" spans="1:22" ht="16.5" x14ac:dyDescent="0.15">
      <c r="A4" s="22" t="s">
        <v>212</v>
      </c>
      <c r="B4" s="28" t="s">
        <v>15</v>
      </c>
      <c r="C4" s="28">
        <f>'DESIGN INPUTS AND CALCULATIONS'!C25</f>
        <v>5</v>
      </c>
      <c r="D4" s="27" t="s">
        <v>7</v>
      </c>
      <c r="E4" s="27"/>
      <c r="F4" s="16"/>
      <c r="G4" s="16"/>
      <c r="H4" s="16"/>
      <c r="I4" s="16"/>
      <c r="J4" s="16"/>
      <c r="K4" s="16"/>
      <c r="L4" s="16"/>
      <c r="M4" s="16"/>
      <c r="N4" s="16"/>
      <c r="O4" s="16"/>
      <c r="P4" s="16"/>
      <c r="Q4" s="16"/>
      <c r="R4" s="16"/>
      <c r="S4" s="16"/>
      <c r="T4" s="16"/>
      <c r="U4" s="16"/>
      <c r="V4" s="16"/>
    </row>
    <row r="5" spans="1:22" ht="16.5" x14ac:dyDescent="0.15">
      <c r="A5" s="22" t="s">
        <v>435</v>
      </c>
      <c r="B5" s="28" t="s">
        <v>19</v>
      </c>
      <c r="C5" s="28">
        <f>'DESIGN INPUTS AND CALCULATIONS'!C26</f>
        <v>102</v>
      </c>
      <c r="D5" s="27" t="s">
        <v>8</v>
      </c>
      <c r="E5" s="27"/>
      <c r="F5" s="16"/>
      <c r="G5" s="16"/>
      <c r="H5" s="16"/>
      <c r="I5" s="16"/>
      <c r="J5" s="16"/>
      <c r="K5" s="16"/>
      <c r="L5" s="16"/>
      <c r="M5" s="16"/>
      <c r="N5" s="16"/>
      <c r="O5" s="16"/>
      <c r="P5" s="16"/>
      <c r="Q5" s="16"/>
      <c r="R5" s="16"/>
      <c r="S5" s="16"/>
      <c r="T5" s="16"/>
      <c r="U5" s="16"/>
      <c r="V5" s="16"/>
    </row>
    <row r="6" spans="1:22" ht="16.5" x14ac:dyDescent="0.15">
      <c r="A6" s="22" t="s">
        <v>434</v>
      </c>
      <c r="B6" s="28" t="s">
        <v>21</v>
      </c>
      <c r="C6" s="163">
        <f>'DESIGN INPUTS AND CALCULATIONS'!C41</f>
        <v>39</v>
      </c>
      <c r="D6" s="27"/>
      <c r="E6" s="27"/>
      <c r="F6" s="16"/>
      <c r="G6" s="16"/>
      <c r="H6" s="16"/>
      <c r="I6" s="16"/>
      <c r="J6" s="16"/>
      <c r="K6" s="16"/>
      <c r="L6" s="16"/>
      <c r="M6" s="16"/>
      <c r="N6" s="16"/>
      <c r="O6" s="16"/>
      <c r="P6" s="16"/>
      <c r="Q6" s="16"/>
      <c r="R6" s="16"/>
      <c r="S6" s="16"/>
      <c r="T6" s="16"/>
      <c r="U6" s="16"/>
      <c r="V6" s="16"/>
    </row>
    <row r="7" spans="1:22" ht="16.5" x14ac:dyDescent="0.15">
      <c r="A7" s="22" t="s">
        <v>439</v>
      </c>
      <c r="B7" s="28" t="s">
        <v>441</v>
      </c>
      <c r="C7" s="163">
        <f>C4*C4/C5</f>
        <v>0.24509803921568626</v>
      </c>
      <c r="D7" s="13" t="s">
        <v>158</v>
      </c>
      <c r="E7" s="27"/>
      <c r="F7" s="16"/>
      <c r="G7" s="16"/>
      <c r="H7" s="16"/>
      <c r="I7" s="16"/>
      <c r="J7" s="16"/>
      <c r="K7" s="16"/>
      <c r="L7" s="16"/>
      <c r="M7" s="16"/>
      <c r="N7" s="16"/>
      <c r="O7" s="16"/>
      <c r="P7" s="16"/>
      <c r="Q7" s="16"/>
      <c r="R7" s="16"/>
      <c r="S7" s="16"/>
      <c r="T7" s="16"/>
      <c r="U7" s="16"/>
      <c r="V7" s="16"/>
    </row>
    <row r="8" spans="1:22" ht="15" x14ac:dyDescent="0.15">
      <c r="A8" s="22" t="s">
        <v>440</v>
      </c>
      <c r="B8" s="28" t="s">
        <v>442</v>
      </c>
      <c r="C8" s="163">
        <f>'DESIGN INPUTS AND CALCULATIONS'!C45</f>
        <v>302.17553003920739</v>
      </c>
      <c r="D8" s="13" t="s">
        <v>158</v>
      </c>
      <c r="E8" s="27"/>
      <c r="F8" s="16"/>
      <c r="G8" s="16"/>
      <c r="H8" s="16"/>
      <c r="I8" s="16"/>
      <c r="J8" s="16"/>
      <c r="K8" s="16"/>
      <c r="L8" s="16"/>
      <c r="M8" s="16"/>
      <c r="N8" s="16"/>
      <c r="O8" s="16"/>
      <c r="P8" s="16"/>
      <c r="Q8" s="16"/>
      <c r="R8" s="16"/>
      <c r="S8" s="16"/>
      <c r="T8" s="16"/>
      <c r="U8" s="16"/>
      <c r="V8" s="16"/>
    </row>
    <row r="9" spans="1:22" ht="15" x14ac:dyDescent="0.15">
      <c r="A9" s="22" t="s">
        <v>438</v>
      </c>
      <c r="B9" s="28" t="s">
        <v>446</v>
      </c>
      <c r="C9" s="163">
        <f>'DESIGN INPUTS AND CALCULATIONS'!C29</f>
        <v>0.92</v>
      </c>
      <c r="D9" s="13"/>
      <c r="E9" s="27"/>
      <c r="F9" s="16"/>
      <c r="G9" s="16"/>
      <c r="H9" s="16"/>
      <c r="I9" s="16"/>
      <c r="J9" s="16"/>
      <c r="K9" s="16"/>
      <c r="L9" s="16"/>
      <c r="M9" s="16"/>
      <c r="N9" s="16"/>
      <c r="O9" s="16"/>
      <c r="P9" s="16"/>
      <c r="Q9" s="16"/>
      <c r="R9" s="16"/>
      <c r="S9" s="16"/>
      <c r="T9" s="16"/>
      <c r="U9" s="16"/>
      <c r="V9" s="16"/>
    </row>
    <row r="10" spans="1:22" ht="16.5" x14ac:dyDescent="0.15">
      <c r="A10" s="22" t="s">
        <v>431</v>
      </c>
      <c r="B10" s="28" t="s">
        <v>79</v>
      </c>
      <c r="C10" s="163">
        <f>'DESIGN INPUTS AND CALCULATIONS'!C96</f>
        <v>825</v>
      </c>
      <c r="D10" s="27" t="s">
        <v>74</v>
      </c>
      <c r="E10" s="27"/>
      <c r="F10" s="16"/>
      <c r="G10" s="16"/>
      <c r="H10" s="16"/>
      <c r="I10" s="16"/>
      <c r="J10" s="16"/>
      <c r="K10" s="16"/>
      <c r="L10" s="16"/>
      <c r="M10" s="16"/>
      <c r="N10" s="16"/>
      <c r="O10" s="16"/>
      <c r="P10" s="16"/>
      <c r="Q10" s="16"/>
      <c r="R10" s="16"/>
      <c r="S10" s="16"/>
      <c r="T10" s="16"/>
      <c r="U10" s="16"/>
      <c r="V10" s="16"/>
    </row>
    <row r="11" spans="1:22" ht="16.5" x14ac:dyDescent="0.15">
      <c r="A11" s="22" t="s">
        <v>432</v>
      </c>
      <c r="B11" s="28" t="s">
        <v>75</v>
      </c>
      <c r="C11" s="163">
        <f>'DESIGN INPUTS AND CALCULATIONS'!C94</f>
        <v>85</v>
      </c>
      <c r="D11" s="27" t="s">
        <v>74</v>
      </c>
      <c r="E11" s="27"/>
      <c r="F11" s="16"/>
      <c r="G11" s="16"/>
      <c r="H11" s="16"/>
      <c r="I11" s="16"/>
      <c r="J11" s="16"/>
      <c r="K11" s="16"/>
      <c r="L11" s="16"/>
      <c r="M11" s="16"/>
      <c r="N11" s="16"/>
      <c r="O11" s="16"/>
      <c r="P11" s="16"/>
      <c r="Q11" s="16"/>
      <c r="R11" s="16"/>
      <c r="S11" s="16"/>
      <c r="T11" s="16"/>
      <c r="U11" s="16"/>
      <c r="V11" s="16"/>
    </row>
    <row r="12" spans="1:22" ht="16.5" x14ac:dyDescent="0.15">
      <c r="A12" s="22" t="s">
        <v>433</v>
      </c>
      <c r="B12" s="28" t="s">
        <v>73</v>
      </c>
      <c r="C12" s="163">
        <f>'DESIGN INPUTS AND CALCULATIONS'!C92</f>
        <v>0.03</v>
      </c>
      <c r="D12" s="27" t="s">
        <v>202</v>
      </c>
      <c r="E12" s="27"/>
      <c r="F12" s="16"/>
      <c r="G12" s="16"/>
      <c r="H12" s="16"/>
      <c r="I12" s="16"/>
      <c r="J12" s="16"/>
      <c r="K12" s="16"/>
      <c r="L12" s="16"/>
      <c r="M12" s="16"/>
      <c r="N12" s="16"/>
      <c r="O12" s="16"/>
      <c r="P12" s="16"/>
      <c r="Q12" s="16"/>
      <c r="R12" s="16"/>
      <c r="S12" s="16"/>
      <c r="T12" s="16"/>
      <c r="U12" s="16"/>
      <c r="V12" s="16"/>
    </row>
    <row r="13" spans="1:22" ht="16.5" x14ac:dyDescent="0.15">
      <c r="A13" s="22" t="s">
        <v>242</v>
      </c>
      <c r="B13" s="28" t="s">
        <v>33</v>
      </c>
      <c r="C13" s="163">
        <f>'DESIGN INPUTS AND CALCULATIONS'!C99</f>
        <v>9.7058823529411757</v>
      </c>
      <c r="D13" s="27"/>
      <c r="E13" s="27"/>
      <c r="F13" s="16"/>
      <c r="G13" s="16"/>
      <c r="H13" s="16"/>
      <c r="I13" s="16"/>
      <c r="J13" s="16"/>
      <c r="K13" s="16"/>
      <c r="L13" s="16"/>
      <c r="M13" s="16"/>
      <c r="N13" s="16"/>
      <c r="O13" s="16"/>
      <c r="P13" s="16"/>
      <c r="Q13" s="16"/>
      <c r="R13" s="16"/>
      <c r="S13" s="16"/>
      <c r="T13" s="16"/>
      <c r="U13" s="16"/>
      <c r="V13" s="16"/>
    </row>
    <row r="14" spans="1:22" ht="16.5" x14ac:dyDescent="0.15">
      <c r="A14" s="22" t="s">
        <v>243</v>
      </c>
      <c r="B14" s="28" t="s">
        <v>35</v>
      </c>
      <c r="C14" s="163">
        <f>'DESIGN INPUTS AND CALCULATIONS'!C100</f>
        <v>0.17615279680433163</v>
      </c>
      <c r="D14" s="27"/>
      <c r="E14" s="27"/>
      <c r="F14" s="16"/>
      <c r="G14" s="16"/>
      <c r="H14" s="16"/>
      <c r="I14" s="16"/>
      <c r="J14" s="16"/>
      <c r="K14" s="16"/>
      <c r="L14" s="16"/>
      <c r="M14" s="16"/>
      <c r="N14" s="16"/>
      <c r="O14" s="16"/>
      <c r="P14" s="16"/>
      <c r="Q14" s="16"/>
      <c r="R14" s="16"/>
      <c r="S14" s="16"/>
      <c r="T14" s="16"/>
      <c r="U14" s="16"/>
      <c r="V14" s="16"/>
    </row>
    <row r="15" spans="1:22" ht="16.5" x14ac:dyDescent="0.15">
      <c r="A15" s="22" t="s">
        <v>240</v>
      </c>
      <c r="B15" s="28" t="s">
        <v>26</v>
      </c>
      <c r="C15" s="163">
        <f>'DESIGN INPUTS AND CALCULATIONS'!C97</f>
        <v>99.666691410419475</v>
      </c>
      <c r="D15" s="27" t="s">
        <v>11</v>
      </c>
      <c r="E15" s="27"/>
      <c r="F15" s="16"/>
      <c r="G15" s="16"/>
      <c r="H15" s="16"/>
      <c r="I15" s="16"/>
      <c r="J15" s="16"/>
      <c r="K15" s="16"/>
      <c r="L15" s="16"/>
      <c r="M15" s="16"/>
      <c r="N15" s="16"/>
      <c r="O15" s="16"/>
      <c r="P15" s="16"/>
      <c r="Q15" s="16"/>
      <c r="R15" s="16"/>
      <c r="S15" s="16"/>
      <c r="T15" s="16"/>
      <c r="U15" s="16"/>
      <c r="V15" s="16"/>
    </row>
    <row r="16" spans="1:22" ht="16.5" x14ac:dyDescent="0.15">
      <c r="A16" s="22" t="s">
        <v>447</v>
      </c>
      <c r="B16" s="34" t="s">
        <v>448</v>
      </c>
      <c r="C16" s="163">
        <f>C6*(C4+0.5)/(C3/2)</f>
        <v>1.1000000000000001</v>
      </c>
      <c r="D16" s="27"/>
      <c r="E16" s="27"/>
      <c r="F16" s="16"/>
      <c r="G16" s="16"/>
      <c r="H16" s="16"/>
      <c r="I16" s="16"/>
      <c r="J16" s="16"/>
      <c r="K16" s="16"/>
      <c r="L16" s="16"/>
      <c r="M16" s="16"/>
      <c r="N16" s="16"/>
      <c r="O16" s="16"/>
      <c r="P16" s="16"/>
      <c r="Q16" s="16"/>
      <c r="R16" s="16"/>
      <c r="S16" s="16"/>
      <c r="T16" s="16"/>
      <c r="U16" s="16"/>
      <c r="V16" s="16"/>
    </row>
    <row r="17" spans="1:22" ht="18" x14ac:dyDescent="0.35">
      <c r="A17" s="68" t="s">
        <v>287</v>
      </c>
      <c r="B17" s="59" t="s">
        <v>193</v>
      </c>
      <c r="C17" s="163">
        <f>'DESIGN INPUTS AND CALCULATIONS'!C167</f>
        <v>15000</v>
      </c>
      <c r="D17" s="69" t="s">
        <v>71</v>
      </c>
      <c r="E17" s="27"/>
      <c r="F17" s="16"/>
      <c r="G17" s="16"/>
      <c r="H17" s="16"/>
      <c r="I17" s="16"/>
      <c r="J17" s="16"/>
      <c r="K17" s="16"/>
      <c r="L17" s="16"/>
      <c r="M17" s="16"/>
      <c r="N17" s="16"/>
      <c r="O17" s="16"/>
      <c r="P17" s="16"/>
      <c r="Q17" s="16"/>
      <c r="R17" s="16"/>
      <c r="S17" s="16"/>
      <c r="T17" s="16"/>
      <c r="U17" s="16"/>
      <c r="V17" s="16"/>
    </row>
    <row r="18" spans="1:22" ht="18" x14ac:dyDescent="0.35">
      <c r="A18" s="68" t="s">
        <v>285</v>
      </c>
      <c r="B18" s="59" t="s">
        <v>192</v>
      </c>
      <c r="C18" s="163">
        <f>'DESIGN INPUTS AND CALCULATIONS'!C169</f>
        <v>150</v>
      </c>
      <c r="D18" s="69" t="s">
        <v>71</v>
      </c>
      <c r="E18" s="27"/>
      <c r="F18" s="16"/>
      <c r="G18" s="16"/>
      <c r="H18" s="16"/>
      <c r="I18" s="16"/>
      <c r="J18" s="16"/>
      <c r="K18" s="16"/>
      <c r="L18" s="16"/>
      <c r="M18" s="16"/>
      <c r="N18" s="16"/>
      <c r="O18" s="16"/>
      <c r="P18" s="16"/>
      <c r="Q18" s="16"/>
      <c r="R18" s="16"/>
      <c r="S18" s="16"/>
      <c r="T18" s="16"/>
      <c r="U18" s="16"/>
      <c r="V18" s="16"/>
    </row>
    <row r="19" spans="1:22" ht="16.5" x14ac:dyDescent="0.15">
      <c r="A19" s="22" t="s">
        <v>436</v>
      </c>
      <c r="B19" s="28" t="s">
        <v>443</v>
      </c>
      <c r="C19" s="31">
        <v>2.88</v>
      </c>
      <c r="D19" s="27" t="s">
        <v>456</v>
      </c>
      <c r="E19" s="149" t="s">
        <v>455</v>
      </c>
      <c r="F19" s="16"/>
      <c r="G19" s="16"/>
      <c r="H19" s="16"/>
      <c r="I19" s="16"/>
      <c r="J19" s="16"/>
      <c r="K19" s="16"/>
      <c r="L19" s="16"/>
      <c r="M19" s="16"/>
      <c r="N19" s="16"/>
      <c r="O19" s="16"/>
      <c r="P19" s="16"/>
      <c r="Q19" s="16"/>
      <c r="R19" s="16"/>
      <c r="S19" s="16"/>
      <c r="T19" s="16"/>
      <c r="U19" s="16"/>
      <c r="V19" s="16"/>
    </row>
    <row r="20" spans="1:22" ht="27" x14ac:dyDescent="0.15">
      <c r="A20" s="22" t="s">
        <v>437</v>
      </c>
      <c r="B20" s="28" t="s">
        <v>444</v>
      </c>
      <c r="C20" s="31">
        <v>4</v>
      </c>
      <c r="D20" s="27" t="s">
        <v>445</v>
      </c>
      <c r="E20" s="149" t="s">
        <v>457</v>
      </c>
      <c r="F20" s="16"/>
      <c r="G20" s="16"/>
      <c r="H20" s="16"/>
      <c r="I20" s="16"/>
      <c r="J20" s="16"/>
      <c r="K20" s="16"/>
      <c r="L20" s="16"/>
      <c r="M20" s="16"/>
      <c r="N20" s="16"/>
      <c r="O20" s="16"/>
      <c r="P20" s="16"/>
      <c r="Q20" s="16"/>
      <c r="R20" s="16"/>
      <c r="S20" s="16"/>
      <c r="T20" s="16"/>
      <c r="U20" s="16"/>
      <c r="V20" s="16"/>
    </row>
    <row r="21" spans="1:22" ht="46.5" x14ac:dyDescent="0.15">
      <c r="A21" s="22" t="s">
        <v>451</v>
      </c>
      <c r="B21" s="28" t="s">
        <v>452</v>
      </c>
      <c r="C21" s="31">
        <v>0.85</v>
      </c>
      <c r="D21" s="27"/>
      <c r="E21" s="149" t="s">
        <v>461</v>
      </c>
    </row>
    <row r="22" spans="1:22" ht="16.5" x14ac:dyDescent="0.15">
      <c r="A22" s="22" t="s">
        <v>453</v>
      </c>
      <c r="B22" s="28" t="s">
        <v>454</v>
      </c>
      <c r="C22" s="87">
        <f>$C$21*$C$15</f>
        <v>84.716687698856546</v>
      </c>
      <c r="D22" s="27" t="s">
        <v>11</v>
      </c>
      <c r="E22" s="27"/>
    </row>
    <row r="23" spans="1:22" ht="14.25" thickBot="1" x14ac:dyDescent="0.2">
      <c r="A23" s="16"/>
      <c r="B23" s="16"/>
      <c r="C23" s="16"/>
      <c r="D23" s="16"/>
      <c r="E23" s="16"/>
      <c r="F23" s="16"/>
      <c r="G23" s="16"/>
      <c r="H23" s="16"/>
      <c r="I23" s="16"/>
      <c r="J23" s="16"/>
      <c r="K23" s="16"/>
      <c r="L23" s="16"/>
      <c r="M23" s="16"/>
      <c r="N23" s="16"/>
      <c r="O23" s="16"/>
      <c r="P23" s="16"/>
      <c r="Q23" s="16"/>
      <c r="R23" s="16"/>
      <c r="S23" s="16"/>
      <c r="T23" s="16"/>
      <c r="U23" s="16"/>
      <c r="V23" s="16"/>
    </row>
    <row r="24" spans="1:22" ht="15.75" x14ac:dyDescent="0.15">
      <c r="A24" s="199" t="s">
        <v>473</v>
      </c>
      <c r="B24" s="200"/>
      <c r="C24" s="200"/>
      <c r="D24" s="201"/>
      <c r="E24" s="142"/>
      <c r="F24" s="16"/>
      <c r="G24" s="16"/>
      <c r="H24" s="16"/>
      <c r="I24" s="16"/>
      <c r="J24" s="16"/>
      <c r="K24" s="16"/>
      <c r="L24" s="16"/>
      <c r="M24" s="16"/>
      <c r="N24" s="16"/>
      <c r="O24" s="16"/>
      <c r="P24" s="16"/>
      <c r="Q24" s="16"/>
      <c r="R24" s="16"/>
      <c r="S24" s="16"/>
      <c r="T24" s="16"/>
      <c r="U24" s="16"/>
      <c r="V24" s="16"/>
    </row>
    <row r="25" spans="1:22" ht="18.600000000000001" customHeight="1" x14ac:dyDescent="0.15">
      <c r="A25" s="22" t="s">
        <v>474</v>
      </c>
      <c r="B25" s="5"/>
      <c r="C25" s="166" t="s">
        <v>475</v>
      </c>
      <c r="D25" s="27"/>
      <c r="E25" s="27"/>
      <c r="F25" s="16"/>
      <c r="G25" s="16"/>
      <c r="H25" s="16"/>
      <c r="I25" s="16"/>
      <c r="J25" s="16"/>
      <c r="K25" s="16"/>
      <c r="L25" s="16"/>
      <c r="M25" s="16"/>
      <c r="N25" s="16"/>
      <c r="O25" s="16"/>
      <c r="P25" s="16"/>
      <c r="Q25" s="16"/>
      <c r="R25" s="16"/>
      <c r="S25" s="16"/>
      <c r="T25" s="16"/>
      <c r="U25" s="16"/>
      <c r="V25" s="16"/>
    </row>
    <row r="26" spans="1:22" ht="16.5" x14ac:dyDescent="0.15">
      <c r="A26" s="22" t="s">
        <v>479</v>
      </c>
      <c r="B26" s="28" t="s">
        <v>487</v>
      </c>
      <c r="C26" s="166">
        <v>147</v>
      </c>
      <c r="D26" s="27" t="s">
        <v>495</v>
      </c>
      <c r="E26" s="27"/>
      <c r="F26" s="16"/>
      <c r="G26" s="16"/>
      <c r="H26" s="16"/>
      <c r="I26" s="16"/>
      <c r="J26" s="16"/>
      <c r="K26" s="16"/>
      <c r="L26" s="16"/>
      <c r="M26" s="16"/>
      <c r="N26" s="16"/>
      <c r="O26" s="16"/>
      <c r="P26" s="16"/>
      <c r="Q26" s="16"/>
      <c r="R26" s="16"/>
      <c r="S26" s="16"/>
      <c r="T26" s="16"/>
      <c r="U26" s="16"/>
      <c r="V26" s="16"/>
    </row>
    <row r="27" spans="1:22" ht="16.5" x14ac:dyDescent="0.15">
      <c r="A27" s="22" t="s">
        <v>510</v>
      </c>
      <c r="B27" s="28" t="s">
        <v>511</v>
      </c>
      <c r="C27" s="166">
        <v>16.899999999999999</v>
      </c>
      <c r="D27" s="27" t="s">
        <v>495</v>
      </c>
      <c r="E27" s="27"/>
      <c r="F27" s="16"/>
      <c r="G27" s="16"/>
      <c r="H27" s="16"/>
      <c r="I27" s="16"/>
      <c r="J27" s="16"/>
      <c r="K27" s="16"/>
      <c r="L27" s="16"/>
      <c r="M27" s="16"/>
      <c r="N27" s="16"/>
      <c r="O27" s="16"/>
      <c r="P27" s="16"/>
      <c r="Q27" s="16"/>
      <c r="R27" s="16"/>
      <c r="S27" s="16"/>
      <c r="T27" s="16"/>
      <c r="U27" s="16"/>
      <c r="V27" s="16"/>
    </row>
    <row r="28" spans="1:22" ht="16.5" x14ac:dyDescent="0.15">
      <c r="A28" s="22" t="s">
        <v>480</v>
      </c>
      <c r="B28" s="28" t="s">
        <v>489</v>
      </c>
      <c r="C28" s="166">
        <v>33.200000000000003</v>
      </c>
      <c r="D28" s="27" t="s">
        <v>495</v>
      </c>
      <c r="E28" s="27"/>
      <c r="F28" s="16"/>
      <c r="G28" s="16"/>
      <c r="H28" s="16"/>
      <c r="I28" s="16"/>
      <c r="J28" s="16"/>
      <c r="K28" s="16"/>
      <c r="L28" s="16"/>
      <c r="M28" s="16"/>
      <c r="N28" s="16"/>
      <c r="O28" s="16"/>
      <c r="P28" s="16"/>
      <c r="Q28" s="16"/>
      <c r="R28" s="16"/>
      <c r="S28" s="16"/>
      <c r="T28" s="16"/>
      <c r="U28" s="16"/>
      <c r="V28" s="16"/>
    </row>
    <row r="29" spans="1:22" ht="16.5" x14ac:dyDescent="0.15">
      <c r="A29" s="22" t="s">
        <v>481</v>
      </c>
      <c r="B29" s="28" t="s">
        <v>490</v>
      </c>
      <c r="C29" s="167">
        <v>10</v>
      </c>
      <c r="D29" s="27" t="s">
        <v>159</v>
      </c>
      <c r="E29" s="27"/>
      <c r="F29" s="16"/>
      <c r="G29" s="16"/>
      <c r="H29" s="16"/>
      <c r="I29" s="16"/>
      <c r="J29" s="16"/>
      <c r="K29" s="16"/>
      <c r="L29" s="16"/>
      <c r="M29" s="16"/>
      <c r="N29" s="16"/>
      <c r="O29" s="16"/>
      <c r="P29" s="16"/>
      <c r="Q29" s="16"/>
      <c r="R29" s="16"/>
      <c r="S29" s="16"/>
      <c r="T29" s="16"/>
      <c r="U29" s="16"/>
      <c r="V29" s="16"/>
    </row>
    <row r="30" spans="1:22" ht="16.5" x14ac:dyDescent="0.15">
      <c r="A30" s="22" t="s">
        <v>482</v>
      </c>
      <c r="B30" s="28" t="s">
        <v>491</v>
      </c>
      <c r="C30" s="167">
        <v>100</v>
      </c>
      <c r="D30" s="13" t="s">
        <v>71</v>
      </c>
      <c r="E30" s="27"/>
      <c r="F30" s="16"/>
      <c r="G30" s="16"/>
      <c r="H30" s="16"/>
      <c r="I30" s="16"/>
      <c r="J30" s="16"/>
      <c r="K30" s="16"/>
      <c r="L30" s="16"/>
      <c r="M30" s="16"/>
      <c r="N30" s="16"/>
      <c r="O30" s="16"/>
      <c r="P30" s="16"/>
      <c r="Q30" s="16"/>
      <c r="R30" s="16"/>
      <c r="S30" s="16"/>
      <c r="T30" s="16"/>
      <c r="U30" s="16"/>
      <c r="V30" s="16"/>
    </row>
    <row r="31" spans="1:22" ht="16.5" x14ac:dyDescent="0.15">
      <c r="A31" s="22" t="s">
        <v>483</v>
      </c>
      <c r="B31" s="28" t="s">
        <v>492</v>
      </c>
      <c r="C31" s="167"/>
      <c r="D31" s="27" t="s">
        <v>495</v>
      </c>
      <c r="E31" s="27"/>
      <c r="F31" s="16"/>
      <c r="G31" s="16"/>
      <c r="H31" s="16"/>
      <c r="I31" s="16"/>
      <c r="J31" s="16"/>
      <c r="K31" s="16"/>
      <c r="L31" s="16"/>
      <c r="M31" s="16"/>
      <c r="N31" s="16"/>
      <c r="O31" s="16"/>
      <c r="P31" s="16"/>
      <c r="Q31" s="16"/>
      <c r="R31" s="16"/>
      <c r="S31" s="16"/>
      <c r="T31" s="16"/>
      <c r="U31" s="16"/>
      <c r="V31" s="16"/>
    </row>
    <row r="32" spans="1:22" ht="16.5" x14ac:dyDescent="0.15">
      <c r="A32" s="22" t="s">
        <v>484</v>
      </c>
      <c r="B32" s="28" t="s">
        <v>493</v>
      </c>
      <c r="C32" s="167"/>
      <c r="D32" s="13" t="s">
        <v>159</v>
      </c>
      <c r="E32" s="27"/>
      <c r="F32" s="16"/>
      <c r="G32" s="16"/>
      <c r="H32" s="16"/>
      <c r="I32" s="16"/>
      <c r="J32" s="16"/>
      <c r="K32" s="16"/>
      <c r="L32" s="16"/>
      <c r="M32" s="16"/>
      <c r="N32" s="16"/>
      <c r="O32" s="16"/>
      <c r="P32" s="16"/>
      <c r="Q32" s="16"/>
      <c r="R32" s="16"/>
      <c r="S32" s="16"/>
      <c r="T32" s="16"/>
      <c r="U32" s="16"/>
      <c r="V32" s="16"/>
    </row>
    <row r="33" spans="1:22" ht="16.5" x14ac:dyDescent="0.15">
      <c r="A33" s="22" t="s">
        <v>496</v>
      </c>
      <c r="B33" s="28" t="s">
        <v>497</v>
      </c>
      <c r="C33" s="167"/>
      <c r="D33" s="13" t="s">
        <v>7</v>
      </c>
      <c r="E33" s="27"/>
      <c r="F33" s="16"/>
      <c r="G33" s="16"/>
      <c r="H33" s="16"/>
      <c r="I33" s="16"/>
      <c r="J33" s="16"/>
      <c r="K33" s="16"/>
      <c r="L33" s="16"/>
      <c r="M33" s="16"/>
      <c r="N33" s="16"/>
      <c r="O33" s="16"/>
      <c r="P33" s="16"/>
      <c r="Q33" s="16"/>
      <c r="R33" s="16"/>
      <c r="S33" s="16"/>
      <c r="T33" s="16"/>
      <c r="U33" s="16"/>
      <c r="V33" s="16"/>
    </row>
    <row r="34" spans="1:22" ht="16.5" x14ac:dyDescent="0.15">
      <c r="A34" s="22" t="s">
        <v>485</v>
      </c>
      <c r="B34" s="28" t="s">
        <v>494</v>
      </c>
      <c r="C34" s="167">
        <v>9.0500000000000007</v>
      </c>
      <c r="D34" s="27" t="s">
        <v>495</v>
      </c>
      <c r="E34" s="27"/>
      <c r="F34" s="16"/>
      <c r="G34" s="16"/>
      <c r="H34" s="16"/>
      <c r="I34" s="16"/>
      <c r="J34" s="16"/>
      <c r="K34" s="16"/>
      <c r="L34" s="16"/>
      <c r="M34" s="16"/>
      <c r="N34" s="16"/>
      <c r="O34" s="16"/>
      <c r="P34" s="16"/>
      <c r="Q34" s="16"/>
      <c r="R34" s="16"/>
      <c r="S34" s="16"/>
      <c r="T34" s="16"/>
      <c r="U34" s="16"/>
      <c r="V34" s="16"/>
    </row>
    <row r="35" spans="1:22" ht="15" x14ac:dyDescent="0.15">
      <c r="A35" s="22" t="s">
        <v>486</v>
      </c>
      <c r="B35" s="28" t="s">
        <v>488</v>
      </c>
      <c r="C35" s="167">
        <v>1</v>
      </c>
      <c r="D35" s="13"/>
      <c r="E35" s="27"/>
      <c r="F35" s="16"/>
      <c r="G35" s="16"/>
      <c r="H35" s="16"/>
      <c r="I35" s="16"/>
      <c r="J35" s="16"/>
      <c r="K35" s="16"/>
      <c r="L35" s="16"/>
      <c r="M35" s="16"/>
      <c r="N35" s="16"/>
      <c r="O35" s="16"/>
      <c r="P35" s="16"/>
      <c r="Q35" s="16"/>
      <c r="R35" s="16"/>
      <c r="S35" s="16"/>
      <c r="T35" s="16"/>
      <c r="U35" s="16"/>
      <c r="V35" s="16"/>
    </row>
    <row r="36" spans="1:22" ht="16.5" x14ac:dyDescent="0.15">
      <c r="A36" s="22" t="s">
        <v>507</v>
      </c>
      <c r="B36" s="28" t="s">
        <v>508</v>
      </c>
      <c r="C36" s="167">
        <v>10</v>
      </c>
      <c r="D36" s="13" t="s">
        <v>11</v>
      </c>
      <c r="E36" s="27"/>
      <c r="F36" s="16"/>
      <c r="G36" s="16"/>
      <c r="H36" s="16"/>
      <c r="I36" s="16"/>
      <c r="J36" s="16"/>
      <c r="K36" s="16"/>
      <c r="L36" s="16"/>
      <c r="M36" s="16"/>
      <c r="N36" s="16"/>
      <c r="O36" s="16"/>
      <c r="P36" s="16"/>
      <c r="Q36" s="16"/>
      <c r="R36" s="16"/>
      <c r="S36" s="16"/>
      <c r="T36" s="16"/>
      <c r="U36" s="16"/>
      <c r="V36" s="16"/>
    </row>
    <row r="37" spans="1:22" x14ac:dyDescent="0.15">
      <c r="A37" s="16"/>
      <c r="B37" s="16"/>
      <c r="C37" s="16"/>
      <c r="D37" s="16"/>
      <c r="E37" s="16"/>
      <c r="F37" s="16"/>
      <c r="G37" s="16"/>
      <c r="H37" s="16"/>
      <c r="I37" s="16"/>
      <c r="J37" s="16"/>
      <c r="K37" s="16"/>
      <c r="L37" s="16"/>
      <c r="M37" s="16"/>
      <c r="N37" s="16"/>
      <c r="O37" s="16"/>
      <c r="P37" s="16"/>
      <c r="Q37" s="16"/>
      <c r="R37" s="16"/>
      <c r="S37" s="16"/>
      <c r="T37" s="16"/>
      <c r="U37" s="16"/>
      <c r="V37" s="16"/>
    </row>
    <row r="38" spans="1:22" x14ac:dyDescent="0.15">
      <c r="A38" s="16"/>
      <c r="B38" s="16"/>
      <c r="C38" s="16"/>
      <c r="D38" s="16"/>
      <c r="E38" s="16"/>
      <c r="F38" s="16"/>
      <c r="G38" s="16"/>
      <c r="H38" s="16"/>
      <c r="I38" s="16"/>
      <c r="J38" s="16"/>
      <c r="K38" s="16"/>
      <c r="L38" s="16"/>
      <c r="M38" s="16"/>
      <c r="N38" s="16"/>
      <c r="O38" s="16"/>
      <c r="P38" s="16"/>
      <c r="Q38" s="16"/>
      <c r="R38" s="16"/>
      <c r="S38" s="16"/>
      <c r="T38" s="16"/>
      <c r="U38" s="16"/>
      <c r="V38" s="16"/>
    </row>
    <row r="39" spans="1:22" x14ac:dyDescent="0.15">
      <c r="A39" s="16"/>
      <c r="B39" s="16"/>
      <c r="C39" s="16"/>
      <c r="D39" s="16"/>
      <c r="E39" s="16"/>
      <c r="F39" s="16"/>
      <c r="G39" s="16"/>
      <c r="H39" s="16"/>
      <c r="I39" s="16"/>
      <c r="J39" s="16"/>
      <c r="K39" s="16"/>
      <c r="L39" s="16"/>
      <c r="M39" s="16"/>
      <c r="N39" s="16"/>
      <c r="O39" s="16"/>
      <c r="P39" s="16"/>
      <c r="Q39" s="16"/>
      <c r="R39" s="16"/>
      <c r="S39" s="16"/>
      <c r="T39" s="16"/>
      <c r="U39" s="16"/>
      <c r="V39" s="16"/>
    </row>
    <row r="40" spans="1:22" x14ac:dyDescent="0.15">
      <c r="A40" s="16"/>
      <c r="B40" s="16"/>
      <c r="C40" s="16"/>
      <c r="D40" s="16"/>
      <c r="E40" s="16"/>
      <c r="F40" s="16"/>
      <c r="G40" s="16"/>
      <c r="H40" s="16"/>
      <c r="I40" s="16"/>
      <c r="J40" s="16"/>
      <c r="K40" s="16"/>
      <c r="L40" s="16"/>
      <c r="M40" s="16"/>
      <c r="N40" s="16"/>
      <c r="O40" s="16"/>
      <c r="P40" s="16"/>
      <c r="Q40" s="16"/>
      <c r="R40" s="16"/>
      <c r="S40" s="16"/>
      <c r="T40" s="16"/>
      <c r="U40" s="16"/>
      <c r="V40" s="16"/>
    </row>
  </sheetData>
  <mergeCells count="2">
    <mergeCell ref="A2:D2"/>
    <mergeCell ref="A24:D24"/>
  </mergeCells>
  <phoneticPr fontId="39"/>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calculations'!$A$290</xm:f>
          </x14:formula1>
          <xm:sqref>C25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74</vt:i4>
      </vt:variant>
    </vt:vector>
  </HeadingPairs>
  <TitlesOfParts>
    <vt:vector size="78" baseType="lpstr">
      <vt:lpstr>SCHEMATIC</vt:lpstr>
      <vt:lpstr>DESIGN INPUTS AND CALCULATIONS</vt:lpstr>
      <vt:lpstr>tables and calculations</vt:lpstr>
      <vt:lpstr>Compensation</vt:lpstr>
      <vt:lpstr>C_1initial</vt:lpstr>
      <vt:lpstr>C_1rec</vt:lpstr>
      <vt:lpstr>C_f1</vt:lpstr>
      <vt:lpstr>C_f2</vt:lpstr>
      <vt:lpstr>C_s1</vt:lpstr>
      <vt:lpstr>C_s2</vt:lpstr>
      <vt:lpstr>Cblk_initial</vt:lpstr>
      <vt:lpstr>Cblk_rec</vt:lpstr>
      <vt:lpstr>Cin_initial</vt:lpstr>
      <vt:lpstr>Cin_rec</vt:lpstr>
      <vt:lpstr>Cr</vt:lpstr>
      <vt:lpstr>Cr_initial</vt:lpstr>
      <vt:lpstr>Cr_rec</vt:lpstr>
      <vt:lpstr>Cs_1</vt:lpstr>
      <vt:lpstr>eff</vt:lpstr>
      <vt:lpstr>ESR</vt:lpstr>
      <vt:lpstr>f0</vt:lpstr>
      <vt:lpstr>fllc</vt:lpstr>
      <vt:lpstr>fn_Mgmax</vt:lpstr>
      <vt:lpstr>fn_Mgmin</vt:lpstr>
      <vt:lpstr>fNmax</vt:lpstr>
      <vt:lpstr>fsw_max</vt:lpstr>
      <vt:lpstr>fsw_min</vt:lpstr>
      <vt:lpstr>Ic_out</vt:lpstr>
      <vt:lpstr>Im</vt:lpstr>
      <vt:lpstr>Ioe</vt:lpstr>
      <vt:lpstr>Iout</vt:lpstr>
      <vt:lpstr>Iq_LLC</vt:lpstr>
      <vt:lpstr>Ir</vt:lpstr>
      <vt:lpstr>Irect</vt:lpstr>
      <vt:lpstr>Isav</vt:lpstr>
      <vt:lpstr>kHz</vt:lpstr>
      <vt:lpstr>kOhm</vt:lpstr>
      <vt:lpstr>Lm</vt:lpstr>
      <vt:lpstr>Lm_rec</vt:lpstr>
      <vt:lpstr>Ln</vt:lpstr>
      <vt:lpstr>Ln_selected</vt:lpstr>
      <vt:lpstr>Lr</vt:lpstr>
      <vt:lpstr>Lr_rec</vt:lpstr>
      <vt:lpstr>mA</vt:lpstr>
      <vt:lpstr>Mg_max</vt:lpstr>
      <vt:lpstr>Mg_min</vt:lpstr>
      <vt:lpstr>Mg_noload</vt:lpstr>
      <vt:lpstr>MHz</vt:lpstr>
      <vt:lpstr>mOhm</vt:lpstr>
      <vt:lpstr>ms</vt:lpstr>
      <vt:lpstr>mV</vt:lpstr>
      <vt:lpstr>mW</vt:lpstr>
      <vt:lpstr>nC</vt:lpstr>
      <vt:lpstr>nF</vt:lpstr>
      <vt:lpstr>Nps</vt:lpstr>
      <vt:lpstr>ns</vt:lpstr>
      <vt:lpstr>picoF</vt:lpstr>
      <vt:lpstr>Pout</vt:lpstr>
      <vt:lpstr>Qe</vt:lpstr>
      <vt:lpstr>Qe_selected</vt:lpstr>
      <vt:lpstr>Re</vt:lpstr>
      <vt:lpstr>Re_fl</vt:lpstr>
      <vt:lpstr>uA</vt:lpstr>
      <vt:lpstr>uC</vt:lpstr>
      <vt:lpstr>uF</vt:lpstr>
      <vt:lpstr>uH</vt:lpstr>
      <vt:lpstr>us</vt:lpstr>
      <vt:lpstr>Vblk</vt:lpstr>
      <vt:lpstr>Vblk_hu</vt:lpstr>
      <vt:lpstr>Vblk_max</vt:lpstr>
      <vt:lpstr>Vblk_ripple_target</vt:lpstr>
      <vt:lpstr>Vcr</vt:lpstr>
      <vt:lpstr>Vdb</vt:lpstr>
      <vt:lpstr>Vllc_cap</vt:lpstr>
      <vt:lpstr>Vloss</vt:lpstr>
      <vt:lpstr>Vout</vt:lpstr>
      <vt:lpstr>Vout_pp</vt:lpstr>
      <vt:lpstr>Vq_LLC</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彰 倉田</cp:lastModifiedBy>
  <dcterms:created xsi:type="dcterms:W3CDTF">2014-10-10T14:52:07Z</dcterms:created>
  <dcterms:modified xsi:type="dcterms:W3CDTF">2024-07-25T07:07:21Z</dcterms:modified>
</cp:coreProperties>
</file>