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uracy" sheetId="1" state="visible" r:id="rId3"/>
    <sheet name="Thermistor" sheetId="2" state="hidden" r:id="rId4"/>
    <sheet name="Resistor Network" sheetId="3" state="hidden" r:id="rId5"/>
    <sheet name="Digital" sheetId="4" state="hidden" r:id="rId6"/>
    <sheet name="best fit" sheetId="5" state="hidden" r:id="rId7"/>
    <sheet name="Thermistor Database" sheetId="6" state="visible" r:id="rId8"/>
    <sheet name="Sheet1" sheetId="7" state="hidden" r:id="rId9"/>
    <sheet name="What If" sheetId="8" state="hidden" r:id="rId10"/>
  </sheets>
  <definedNames>
    <definedName function="false" hidden="false" name="Beta" vbProcedure="false">#REF!</definedName>
    <definedName function="false" hidden="false" name="E96Resistor" vbProcedure="false">Sheet1!$G$3:$G$292</definedName>
    <definedName function="false" hidden="false" name="Ref_Temp" vbProcedure="false">#REF!</definedName>
    <definedName function="false" hidden="false" name="R_at_Ref_Temp" vbProcedure="false">#REF!</definedName>
    <definedName function="false" hidden="false" name="Tolerance" vbProcedure="false">Sheet1!$J$3:$J$12</definedName>
    <definedName function="false" hidden="true" localSheetId="3" name="solver_adj" vbProcedure="false">Digital!$AB$42</definedName>
    <definedName function="false" hidden="true" localSheetId="3" name="solver_cvg" vbProcedure="false">0.0001</definedName>
    <definedName function="false" hidden="true" localSheetId="3" name="solver_drv" vbProcedure="false">1</definedName>
    <definedName function="false" hidden="true" localSheetId="3" name="solver_est" vbProcedure="false">1</definedName>
    <definedName function="false" hidden="true" localSheetId="3" name="solver_itr" vbProcedure="false">100</definedName>
    <definedName function="false" hidden="true" localSheetId="3" name="solver_lin" vbProcedure="false">2</definedName>
    <definedName function="false" hidden="true" localSheetId="3" name="solver_neg" vbProcedure="false">2</definedName>
    <definedName function="false" hidden="true" localSheetId="3" name="solver_num" vbProcedure="false">0</definedName>
    <definedName function="false" hidden="true" localSheetId="3" name="solver_nwt" vbProcedure="false">1</definedName>
    <definedName function="false" hidden="true" localSheetId="3" name="solver_opt" vbProcedure="false">Digital!$AC$42</definedName>
    <definedName function="false" hidden="true" localSheetId="3" name="solver_pre" vbProcedure="false">0.000001</definedName>
    <definedName function="false" hidden="true" localSheetId="3" name="solver_scl" vbProcedure="false">2</definedName>
    <definedName function="false" hidden="true" localSheetId="3" name="solver_sho" vbProcedure="false">2</definedName>
    <definedName function="false" hidden="true" localSheetId="3" name="solver_tim" vbProcedure="false">100</definedName>
    <definedName function="false" hidden="true" localSheetId="3" name="solver_tol" vbProcedure="false">0.05</definedName>
    <definedName function="false" hidden="true" localSheetId="3" name="solver_typ" vbProcedure="false">3</definedName>
    <definedName function="false" hidden="true" localSheetId="3" name="solver_val" vbProcedure="false">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xdr="http://schemas.openxmlformats.org/drawingml/2006/spreadsheetDrawing">
  <authors>
    <author>Garry R. Elder</author>
  </authors>
  <commentList>
    <comment ref="K2" authorId="0">
      <text>
        <r>
          <rPr>
            <sz val="10"/>
            <rFont val="Arial"/>
            <family val="2"/>
          </rPr>
          <t xml:space="preserve">Garry R. Elder:
</t>
        </r>
        <r>
          <rPr>
            <sz val="12"/>
            <color rgb="FF000000"/>
            <rFont val="Tahoma"/>
            <family val="2"/>
            <charset val="1"/>
          </rPr>
          <t xml:space="preserve">Even though bqMAXIMO is 14 bit, this value needs to be 15 to calculate the polynomial coeefs correctly.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Garry R. Elder</author>
  </authors>
  <commentList>
    <comment ref="G5" authorId="0">
      <text>
        <r>
          <rPr>
            <sz val="10"/>
            <rFont val="Arial"/>
            <family val="2"/>
          </rPr>
          <t xml:space="preserve">Garry R. Elder:
</t>
        </r>
        <r>
          <rPr>
            <sz val="14"/>
            <color rgb="FF000000"/>
            <rFont val="Tahoma"/>
            <family val="2"/>
            <charset val="1"/>
          </rPr>
          <t xml:space="preserve">18000 is used even though 10k is in bqMaximo. Its effect is scaled by the bq78350 FW before being utilized by the temperature measurement algorithm.</t>
        </r>
      </text>
    </comment>
  </commentList>
</comments>
</file>

<file path=xl/sharedStrings.xml><?xml version="1.0" encoding="utf-8"?>
<sst xmlns="http://schemas.openxmlformats.org/spreadsheetml/2006/main" count="231" uniqueCount="162">
  <si>
    <t xml:space="preserve">BMS-GMAP Thermistor Temperature Optimizer</t>
  </si>
  <si>
    <t xml:space="preserve">103AT-2</t>
  </si>
  <si>
    <t xml:space="preserve">V 0.07</t>
  </si>
  <si>
    <t xml:space="preserve">Temp Measurement Range</t>
  </si>
  <si>
    <t xml:space="preserve">Norm R/T Table</t>
  </si>
  <si>
    <t xml:space="preserve">Min Temp</t>
  </si>
  <si>
    <t xml:space="preserve">Temp (°C)</t>
  </si>
  <si>
    <t xml:space="preserve">Res (Ω)</t>
  </si>
  <si>
    <t xml:space="preserve">Max Temp</t>
  </si>
  <si>
    <t xml:space="preserve">Thermistor R_THERM</t>
  </si>
  <si>
    <t xml:space="preserve">Resistor Tolerance</t>
  </si>
  <si>
    <t xml:space="preserve">BETA Tolerance</t>
  </si>
  <si>
    <t xml:space="preserve">R_TH</t>
  </si>
  <si>
    <t xml:space="preserve">Value (Ω)</t>
  </si>
  <si>
    <t xml:space="preserve">Temperature Drift</t>
  </si>
  <si>
    <t xml:space="preserve">R_PAD</t>
  </si>
  <si>
    <t xml:space="preserve">Calibration Temperature</t>
  </si>
  <si>
    <t xml:space="preserve">Cal Temp</t>
  </si>
  <si>
    <t xml:space="preserve">A's</t>
  </si>
  <si>
    <t xml:space="preserve">B's</t>
  </si>
  <si>
    <t xml:space="preserve">Ext Coef a1</t>
  </si>
  <si>
    <t xml:space="preserve">Ext Coef b1</t>
  </si>
  <si>
    <t xml:space="preserve">Ext Coef a2</t>
  </si>
  <si>
    <t xml:space="preserve">Ext Coef b2</t>
  </si>
  <si>
    <t xml:space="preserve">Ext Coef a3</t>
  </si>
  <si>
    <t xml:space="preserve">Ext Coef b3</t>
  </si>
  <si>
    <t xml:space="preserve">Ext Coef a4</t>
  </si>
  <si>
    <t xml:space="preserve">Ext Coef b4</t>
  </si>
  <si>
    <t xml:space="preserve"> </t>
  </si>
  <si>
    <t xml:space="preserve">Ext Coef a5</t>
  </si>
  <si>
    <t xml:space="preserve">NOTE: Accuracy Charts DO NOT account for ADC error, just tolernaces entered in left table</t>
  </si>
  <si>
    <t xml:space="preserve">Rc0</t>
  </si>
  <si>
    <t xml:space="preserve">Adc0</t>
  </si>
  <si>
    <t xml:space="preserve">Instructions</t>
  </si>
  <si>
    <t xml:space="preserve">1. Insert Restance values in colum G from thermistor data sheet</t>
  </si>
  <si>
    <t xml:space="preserve">2. Enter the thermistor tolerance in cell D7 and cell D9. Information can be found in the thermistor datasheet</t>
  </si>
  <si>
    <t xml:space="preserve">3. Select the desire temperature operation rage in cell D3 and cell D4</t>
  </si>
  <si>
    <t xml:space="preserve">4. Optional: Select the calibration temperature in cell D26. This will not affect the calculated thermistor coef result.</t>
  </si>
  <si>
    <t xml:space="preserve">Calibration temperature will change how the temperature error is distributed and the result is reflected on the graph above</t>
  </si>
  <si>
    <t xml:space="preserve">5. Copy the A (cell C30 to C34) and B (cell E30 to E33) coef to the device dataflash</t>
  </si>
  <si>
    <t xml:space="preserve">Steinberg Stein</t>
  </si>
  <si>
    <t xml:space="preserve">Therm-</t>
  </si>
  <si>
    <t xml:space="preserve">Therm+</t>
  </si>
  <si>
    <t xml:space="preserve">Beta-</t>
  </si>
  <si>
    <t xml:space="preserve">Beta+</t>
  </si>
  <si>
    <t xml:space="preserve">Temperature</t>
  </si>
  <si>
    <t xml:space="preserve">Therm</t>
  </si>
  <si>
    <t xml:space="preserve">Temp</t>
  </si>
  <si>
    <t xml:space="preserve">Error%</t>
  </si>
  <si>
    <t xml:space="preserve">Error C</t>
  </si>
  <si>
    <t xml:space="preserve">BETA</t>
  </si>
  <si>
    <t xml:space="preserve">Therm Min</t>
  </si>
  <si>
    <t xml:space="preserve">Therm Max</t>
  </si>
  <si>
    <t xml:space="preserve">Min Err</t>
  </si>
  <si>
    <t xml:space="preserve">Max Err</t>
  </si>
  <si>
    <t xml:space="preserve">Tol min</t>
  </si>
  <si>
    <t xml:space="preserve">Tol max</t>
  </si>
  <si>
    <t xml:space="preserve">Res</t>
  </si>
  <si>
    <t xml:space="preserve">ln(Res)</t>
  </si>
  <si>
    <t xml:space="preserve">1/Temp</t>
  </si>
  <si>
    <t xml:space="preserve">min</t>
  </si>
  <si>
    <t xml:space="preserve">nom</t>
  </si>
  <si>
    <t xml:space="preserve">max</t>
  </si>
  <si>
    <t xml:space="preserve">A</t>
  </si>
  <si>
    <t xml:space="preserve">B</t>
  </si>
  <si>
    <t xml:space="preserve">C</t>
  </si>
  <si>
    <t xml:space="preserve">mid1</t>
  </si>
  <si>
    <t xml:space="preserve">mid2</t>
  </si>
  <si>
    <t xml:space="preserve">3rd Order</t>
  </si>
  <si>
    <t xml:space="preserve">D</t>
  </si>
  <si>
    <t xml:space="preserve">Resistor Network</t>
  </si>
  <si>
    <t xml:space="preserve">R-</t>
  </si>
  <si>
    <t xml:space="preserve">R+</t>
  </si>
  <si>
    <t xml:space="preserve">TC-</t>
  </si>
  <si>
    <t xml:space="preserve">TC+</t>
  </si>
  <si>
    <t xml:space="preserve">ResNetTemp</t>
  </si>
  <si>
    <t xml:space="preserve">R_TH nom</t>
  </si>
  <si>
    <t xml:space="preserve">R_TH min</t>
  </si>
  <si>
    <t xml:space="preserve">R_TH max</t>
  </si>
  <si>
    <t xml:space="preserve">R_PAD nom</t>
  </si>
  <si>
    <t xml:space="preserve">R_PAD min</t>
  </si>
  <si>
    <t xml:space="preserve">R_PAD max</t>
  </si>
  <si>
    <t xml:space="preserve">Vout/Vin</t>
  </si>
  <si>
    <t xml:space="preserve">Vout/Vin min</t>
  </si>
  <si>
    <t xml:space="preserve">Vout/Vin max</t>
  </si>
  <si>
    <t xml:space="preserve">Min Network Temp</t>
  </si>
  <si>
    <t xml:space="preserve">Max Network Temp</t>
  </si>
  <si>
    <t xml:space="preserve">x</t>
  </si>
  <si>
    <t xml:space="preserve">y</t>
  </si>
  <si>
    <t xml:space="preserve">y=ax+b</t>
  </si>
  <si>
    <t xml:space="preserve">Temp step</t>
  </si>
  <si>
    <t xml:space="preserve">a=</t>
  </si>
  <si>
    <t xml:space="preserve">b=</t>
  </si>
  <si>
    <t xml:space="preserve">Vref (V)</t>
  </si>
  <si>
    <t xml:space="preserve">Eff Res</t>
  </si>
  <si>
    <t xml:space="preserve">Eff Res V</t>
  </si>
  <si>
    <t xml:space="preserve">Quantization Error</t>
  </si>
  <si>
    <t xml:space="preserve">Cal temp</t>
  </si>
  <si>
    <t xml:space="preserve">Range Temp</t>
  </si>
  <si>
    <t xml:space="preserve">AD Count Nom</t>
  </si>
  <si>
    <t xml:space="preserve">AD Count Min</t>
  </si>
  <si>
    <t xml:space="preserve">AD Count Max</t>
  </si>
  <si>
    <t xml:space="preserve">calculated value</t>
  </si>
  <si>
    <t xml:space="preserve">Error nom</t>
  </si>
  <si>
    <t xml:space="preserve">Error min</t>
  </si>
  <si>
    <t xml:space="preserve">Error max</t>
  </si>
  <si>
    <t xml:space="preserve">Cal value</t>
  </si>
  <si>
    <t xml:space="preserve">A4</t>
  </si>
  <si>
    <t xml:space="preserve">A3</t>
  </si>
  <si>
    <t xml:space="preserve">B3</t>
  </si>
  <si>
    <t xml:space="preserve">A2</t>
  </si>
  <si>
    <t xml:space="preserve">B2</t>
  </si>
  <si>
    <t xml:space="preserve">A1</t>
  </si>
  <si>
    <t xml:space="preserve">B1</t>
  </si>
  <si>
    <t xml:space="preserve">A0</t>
  </si>
  <si>
    <t xml:space="preserve">B0</t>
  </si>
  <si>
    <t xml:space="preserve">A x</t>
  </si>
  <si>
    <t xml:space="preserve"> A y</t>
  </si>
  <si>
    <t xml:space="preserve">B x</t>
  </si>
  <si>
    <t xml:space="preserve">B y</t>
  </si>
  <si>
    <t xml:space="preserve">Range</t>
  </si>
  <si>
    <t xml:space="preserve">Range for A x</t>
  </si>
  <si>
    <t xml:space="preserve">Range for A y</t>
  </si>
  <si>
    <t xml:space="preserve">Temp-0.1</t>
  </si>
  <si>
    <t xml:space="preserve">RTH(Temp-0.1)</t>
  </si>
  <si>
    <t xml:space="preserve">min bit resolution</t>
  </si>
  <si>
    <t xml:space="preserve">Vo/Vin in AD</t>
  </si>
  <si>
    <t xml:space="preserve">desired response</t>
  </si>
  <si>
    <t xml:space="preserve">DR in ADC</t>
  </si>
  <si>
    <t xml:space="preserve">V/DR</t>
  </si>
  <si>
    <t xml:space="preserve">V/DR*2^14</t>
  </si>
  <si>
    <t xml:space="preserve">AA</t>
  </si>
  <si>
    <t xml:space="preserve">Range for B x</t>
  </si>
  <si>
    <t xml:space="preserve">Range for B y</t>
  </si>
  <si>
    <t xml:space="preserve">Error degC</t>
  </si>
  <si>
    <t xml:space="preserve">m</t>
  </si>
  <si>
    <t xml:space="preserve">Semitec AT103-2</t>
  </si>
  <si>
    <t xml:space="preserve">Mitsubishi BN35-3H103F</t>
  </si>
  <si>
    <t xml:space="preserve">Vishay NTCS0805E3153FMT</t>
  </si>
  <si>
    <t xml:space="preserve">Epcos B57869S0103</t>
  </si>
  <si>
    <t xml:space="preserve">E96 log Row</t>
  </si>
  <si>
    <t xml:space="preserve">E96 Resistor Values</t>
  </si>
  <si>
    <t xml:space="preserve">Tolerance</t>
  </si>
  <si>
    <t xml:space="preserve">1K</t>
  </si>
  <si>
    <t xml:space="preserve">10K</t>
  </si>
  <si>
    <t xml:space="preserve">100k</t>
  </si>
  <si>
    <t xml:space="preserve">1M</t>
  </si>
  <si>
    <t xml:space="preserve">10M</t>
  </si>
  <si>
    <t xml:space="preserve">Therm Res</t>
  </si>
  <si>
    <t xml:space="preserve">Rint</t>
  </si>
  <si>
    <t xml:space="preserve">Theoretical Calculation of A/D Count</t>
  </si>
  <si>
    <t xml:space="preserve">F/W step 1</t>
  </si>
  <si>
    <t xml:space="preserve">F/W step 2</t>
  </si>
  <si>
    <t xml:space="preserve">F/W step 3</t>
  </si>
  <si>
    <t xml:space="preserve">F/W step 4</t>
  </si>
  <si>
    <t xml:space="preserve">Calculate Kelvin</t>
  </si>
  <si>
    <t xml:space="preserve">Calculate degC</t>
  </si>
  <si>
    <t xml:space="preserve">Nominal Uncalibrated Error in degrees C</t>
  </si>
  <si>
    <t xml:space="preserve">rc0</t>
  </si>
  <si>
    <t xml:space="preserve">adc0</t>
  </si>
  <si>
    <t xml:space="preserve">Rpad</t>
  </si>
  <si>
    <t xml:space="preserve">Note: Above numbers can be copied from Accuracy Tab using Paste Special with values only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</si>
</sst>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%"/>
    <numFmt numFmtId="166" formatCode="0"/>
    <numFmt numFmtId="167" formatCode="0.0"/>
    <numFmt numFmtId="168" formatCode="0.0%"/>
    <numFmt numFmtId="169" formatCode="0.00"/>
    <numFmt numFmtId="170" formatCode="0.000"/>
    <numFmt numFmtId="171" formatCode="0.000E+0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color rgb="FF000000"/>
      <name val="Arial"/>
      <family val="2"/>
    </font>
    <font>
      <b val="true"/>
      <sz val="10"/>
      <color rgb="FF0000FF"/>
      <name val="Arial"/>
      <family val="2"/>
    </font>
    <font>
      <b val="true"/>
      <sz val="8"/>
      <color rgb="FF000000"/>
      <name val="Arial"/>
      <family val="2"/>
    </font>
    <font>
      <sz val="5.5"/>
      <color rgb="FF000000"/>
      <name val="Arial"/>
      <family val="2"/>
    </font>
    <font>
      <b val="true"/>
      <sz val="10"/>
      <color rgb="FF3366FF"/>
      <name val="Arial"/>
      <family val="2"/>
    </font>
    <font>
      <sz val="10"/>
      <color rgb="FF000000"/>
      <name val="Arial"/>
      <family val="0"/>
    </font>
    <font>
      <sz val="10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sz val="10"/>
      <name val="Arial"/>
      <family val="2"/>
    </font>
    <font>
      <sz val="12"/>
      <color rgb="FF000000"/>
      <name val="Tahoma"/>
      <family val="2"/>
      <charset val="1"/>
    </font>
    <font>
      <sz val="14"/>
      <color rgb="FF000000"/>
      <name val="Tahoma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0C0C0"/>
        <bgColor rgb="FFC3D69B"/>
      </patternFill>
    </fill>
    <fill>
      <patternFill patternType="solid">
        <fgColor rgb="FF99CCFF"/>
        <bgColor rgb="FF93CDDD"/>
      </patternFill>
    </fill>
    <fill>
      <patternFill patternType="solid">
        <fgColor rgb="FF00B0F0"/>
        <bgColor rgb="FF33CCCC"/>
      </patternFill>
    </fill>
    <fill>
      <patternFill patternType="solid">
        <fgColor theme="6" tint="0.3999"/>
        <bgColor rgb="FFC0C0C0"/>
      </patternFill>
    </fill>
    <fill>
      <patternFill patternType="solid">
        <fgColor theme="8" tint="0.3999"/>
        <bgColor rgb="FF99CC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3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3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7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7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7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8">
    <dxf>
      <fill>
        <patternFill patternType="solid">
          <bgColor rgb="FF000000"/>
        </patternFill>
      </fill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b val="1"/>
        <i val="0"/>
        <strike val="1"/>
        <color rgb="FFFF6600"/>
      </font>
    </dxf>
    <dxf>
      <font>
        <color rgb="FFFF6600"/>
      </font>
      <fill>
        <patternFill>
          <bgColor rgb="FFFF6600"/>
        </patternFill>
      </fill>
    </dxf>
    <dxf>
      <font>
        <color rgb="FFFF0000"/>
      </font>
    </dxf>
    <dxf>
      <font>
        <b val="1"/>
        <i val="0"/>
        <strike val="1"/>
        <color rgb="FFFF66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93C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C3D69B"/>
      <rgbColor rgb="FF3366FF"/>
      <rgbColor rgb="FF33CCCC"/>
      <rgbColor rgb="FF92D050"/>
      <rgbColor rgb="FFFFCC00"/>
      <rgbColor rgb="FFFF9900"/>
      <rgbColor rgb="FFFF6600"/>
      <rgbColor rgb="FF666699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Thermistor Resistor Change vs. Temp</a:t>
            </a:r>
          </a:p>
        </c:rich>
      </c:tx>
      <c:layout>
        <c:manualLayout>
          <c:xMode val="edge"/>
          <c:yMode val="edge"/>
          <c:x val="0.187598116169545"/>
          <c:y val="0.0369598443796026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7751177394035"/>
          <c:y val="0.209531749340003"/>
          <c:w val="0.669250392464678"/>
          <c:h val="0.53675142420453"/>
        </c:manualLayout>
      </c:layout>
      <c:scatterChart>
        <c:scatterStyle val="line"/>
        <c:varyColors val="0"/>
        <c:ser>
          <c:idx val="0"/>
          <c:order val="0"/>
          <c:tx>
            <c:strRef>
              <c:f>Thermistor!$D$4</c:f>
              <c:strCache>
                <c:ptCount val="1"/>
                <c:pt idx="0">
                  <c:v>Therm</c:v>
                </c:pt>
              </c:strCache>
            </c:strRef>
          </c:tx>
          <c:spPr>
            <a:solidFill>
              <a:srgbClr val="000000"/>
            </a:solidFill>
            <a:ln w="2556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Thermistor!$C$5:$C$40</c:f>
              <c:numCache>
                <c:formatCode>General</c:formatCode>
                <c:ptCount val="36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  <c:pt idx="31">
                  <c:v>115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xVal>
          <c:yVal>
            <c:numRef>
              <c:f>Thermistor!$D$5:$D$40</c:f>
              <c:numCache>
                <c:formatCode>General</c:formatCode>
                <c:ptCount val="36"/>
                <c:pt idx="0">
                  <c:v>188500</c:v>
                </c:pt>
                <c:pt idx="1">
                  <c:v>144100</c:v>
                </c:pt>
                <c:pt idx="2">
                  <c:v>111300</c:v>
                </c:pt>
                <c:pt idx="3">
                  <c:v>86430</c:v>
                </c:pt>
                <c:pt idx="4">
                  <c:v>67770</c:v>
                </c:pt>
                <c:pt idx="5">
                  <c:v>53410</c:v>
                </c:pt>
                <c:pt idx="6">
                  <c:v>42470</c:v>
                </c:pt>
                <c:pt idx="7">
                  <c:v>33900</c:v>
                </c:pt>
                <c:pt idx="8">
                  <c:v>27280</c:v>
                </c:pt>
                <c:pt idx="9">
                  <c:v>22050</c:v>
                </c:pt>
                <c:pt idx="10">
                  <c:v>17960</c:v>
                </c:pt>
                <c:pt idx="11">
                  <c:v>14690</c:v>
                </c:pt>
                <c:pt idx="12">
                  <c:v>12090</c:v>
                </c:pt>
                <c:pt idx="13">
                  <c:v>10000</c:v>
                </c:pt>
                <c:pt idx="14">
                  <c:v>8313</c:v>
                </c:pt>
                <c:pt idx="15">
                  <c:v>6940</c:v>
                </c:pt>
                <c:pt idx="16">
                  <c:v>5827</c:v>
                </c:pt>
                <c:pt idx="17">
                  <c:v>4911</c:v>
                </c:pt>
                <c:pt idx="18">
                  <c:v>4160</c:v>
                </c:pt>
                <c:pt idx="19">
                  <c:v>3536</c:v>
                </c:pt>
                <c:pt idx="20">
                  <c:v>3020</c:v>
                </c:pt>
                <c:pt idx="21">
                  <c:v>2588</c:v>
                </c:pt>
                <c:pt idx="22">
                  <c:v>2228</c:v>
                </c:pt>
                <c:pt idx="23">
                  <c:v>1924</c:v>
                </c:pt>
                <c:pt idx="24">
                  <c:v>1668</c:v>
                </c:pt>
                <c:pt idx="25">
                  <c:v>1451</c:v>
                </c:pt>
                <c:pt idx="26">
                  <c:v>1266</c:v>
                </c:pt>
                <c:pt idx="27">
                  <c:v>1108</c:v>
                </c:pt>
                <c:pt idx="28">
                  <c:v>973.1</c:v>
                </c:pt>
                <c:pt idx="29">
                  <c:v>857.2</c:v>
                </c:pt>
                <c:pt idx="30">
                  <c:v>757.6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yVal>
          <c:smooth val="0"/>
        </c:ser>
        <c:axId val="25795705"/>
        <c:axId val="62361958"/>
      </c:scatterChart>
      <c:valAx>
        <c:axId val="25795705"/>
        <c:scaling>
          <c:orientation val="minMax"/>
          <c:max val="120"/>
          <c:min val="-40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440149136577708"/>
              <c:y val="0.860358482701126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60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62361958"/>
        <c:crosses val="autoZero"/>
        <c:crossBetween val="midCat"/>
        <c:majorUnit val="20"/>
      </c:valAx>
      <c:valAx>
        <c:axId val="62361958"/>
        <c:scaling>
          <c:orientation val="minMax"/>
          <c:min val="10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Calibri"/>
                  </a:rPr>
                  <a:t>Resistance (</a:t>
                </a:r>
                <a:r>
                  <a:rPr b="1" lang="el-GR" sz="1000" strike="noStrike" u="none">
                    <a:solidFill>
                      <a:srgbClr val="000000"/>
                    </a:solidFill>
                    <a:uFillTx/>
                    <a:latin typeface="Arial"/>
                    <a:ea typeface="Calibri"/>
                  </a:rPr>
                  <a:t>Ω)</a:t>
                </a:r>
              </a:p>
            </c:rich>
          </c:tx>
          <c:layout>
            <c:manualLayout>
              <c:xMode val="edge"/>
              <c:yMode val="edge"/>
              <c:x val="0.0416993720565149"/>
              <c:y val="0.308600805891344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25795705"/>
        <c:crossesAt val="-40"/>
        <c:crossBetween val="midCat"/>
      </c:valAx>
      <c:spPr>
        <a:solidFill>
          <a:srgbClr val="ffffff"/>
        </a:solidFill>
        <a:ln w="12600">
          <a:solidFill>
            <a:srgbClr val="000000"/>
          </a:solidFill>
          <a:round/>
        </a:ln>
      </c:spPr>
    </c:plotArea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Vout/Vin vs ideal</a:t>
            </a:r>
          </a:p>
        </c:rich>
      </c:tx>
      <c:layout>
        <c:manualLayout>
          <c:xMode val="edge"/>
          <c:yMode val="edge"/>
          <c:x val="0.356750392464678"/>
          <c:y val="0.036965249896165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50706436421"/>
          <c:y val="0.208777516267479"/>
          <c:w val="0.812401883830455"/>
          <c:h val="0.538418939498823"/>
        </c:manualLayout>
      </c:layout>
      <c:lineChart>
        <c:grouping val="standard"/>
        <c:varyColors val="0"/>
        <c:ser>
          <c:idx val="0"/>
          <c:order val="0"/>
          <c:tx>
            <c:strRef>
              <c:f>'Resistor Network'!$AB$4</c:f>
              <c:strCache>
                <c:ptCount val="1"/>
                <c:pt idx="0">
                  <c:v>Vout/Vin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8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'Resistor Network'!$C$5:$C$35</c:f>
              <c:strCach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strCache>
            </c:strRef>
          </c:cat>
          <c:val>
            <c:numRef>
              <c:f>'Resistor Network'!$AB$5:$AB$35</c:f>
              <c:numCache>
                <c:formatCode>0.000</c:formatCode>
                <c:ptCount val="31"/>
                <c:pt idx="0">
                  <c:v>0.912832929782082</c:v>
                </c:pt>
                <c:pt idx="1">
                  <c:v>0.888957433682912</c:v>
                </c:pt>
                <c:pt idx="2">
                  <c:v>0.860788863109049</c:v>
                </c:pt>
                <c:pt idx="3">
                  <c:v>0.827635736857225</c:v>
                </c:pt>
                <c:pt idx="4">
                  <c:v>0.790136411332634</c:v>
                </c:pt>
                <c:pt idx="5">
                  <c:v>0.74793446296037</c:v>
                </c:pt>
                <c:pt idx="6">
                  <c:v>0.702331734744501</c:v>
                </c:pt>
                <c:pt idx="7">
                  <c:v>0.653179190751445</c:v>
                </c:pt>
                <c:pt idx="8">
                  <c:v>0.602473498233216</c:v>
                </c:pt>
                <c:pt idx="9">
                  <c:v>0.550561797752809</c:v>
                </c:pt>
                <c:pt idx="10">
                  <c:v>0.49944382647386</c:v>
                </c:pt>
                <c:pt idx="11">
                  <c:v>0.44937289691037</c:v>
                </c:pt>
                <c:pt idx="12">
                  <c:v>0.401794616151545</c:v>
                </c:pt>
                <c:pt idx="13">
                  <c:v>0.357142857142857</c:v>
                </c:pt>
                <c:pt idx="14">
                  <c:v>0.315927488313761</c:v>
                </c:pt>
                <c:pt idx="15">
                  <c:v>0.278267842822775</c:v>
                </c:pt>
                <c:pt idx="16">
                  <c:v>0.244554496999203</c:v>
                </c:pt>
                <c:pt idx="17">
                  <c:v>0.214351185020296</c:v>
                </c:pt>
                <c:pt idx="18">
                  <c:v>0.187725631768953</c:v>
                </c:pt>
                <c:pt idx="19">
                  <c:v>0.164190193164933</c:v>
                </c:pt>
                <c:pt idx="20">
                  <c:v>0.143672692673644</c:v>
                </c:pt>
                <c:pt idx="21">
                  <c:v>0.125704293763357</c:v>
                </c:pt>
                <c:pt idx="22">
                  <c:v>0.110144354360293</c:v>
                </c:pt>
                <c:pt idx="23">
                  <c:v>0.0965669544268219</c:v>
                </c:pt>
                <c:pt idx="24">
                  <c:v>0.0848078096400244</c:v>
                </c:pt>
                <c:pt idx="25">
                  <c:v>0.0745977070587631</c:v>
                </c:pt>
                <c:pt idx="26">
                  <c:v>0.0657116163189038</c:v>
                </c:pt>
                <c:pt idx="27">
                  <c:v>0.0579861837973624</c:v>
                </c:pt>
                <c:pt idx="28">
                  <c:v>0.0512884030548514</c:v>
                </c:pt>
                <c:pt idx="29">
                  <c:v>0.0454574380077636</c:v>
                </c:pt>
                <c:pt idx="30">
                  <c:v>0.0403889623405979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'best fit'!$T$4</c:f>
              <c:strCache>
                <c:ptCount val="1"/>
                <c:pt idx="0">
                  <c:v>desired response</c:v>
                </c:pt>
              </c:strCache>
            </c:strRef>
          </c:tx>
          <c:spPr>
            <a:solidFill>
              <a:srgbClr val="ff00ff"/>
            </a:solidFill>
            <a:ln w="12600">
              <a:solidFill>
                <a:srgbClr val="ff00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8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'Resistor Network'!$C$5:$C$35</c:f>
              <c:strCach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strCache>
            </c:strRef>
          </c:cat>
          <c:val>
            <c:numRef>
              <c:f>'best fit'!$S$5:$S$35</c:f>
              <c:numCache>
                <c:formatCode>0.00</c:formatCode>
                <c:ptCount val="31"/>
                <c:pt idx="0">
                  <c:v>0.86</c:v>
                </c:pt>
                <c:pt idx="1">
                  <c:v>0.843666666666667</c:v>
                </c:pt>
                <c:pt idx="2">
                  <c:v>0.827333333333333</c:v>
                </c:pt>
                <c:pt idx="3">
                  <c:v>0.811</c:v>
                </c:pt>
                <c:pt idx="4">
                  <c:v>0.794666666666667</c:v>
                </c:pt>
                <c:pt idx="5">
                  <c:v>0.778333333333333</c:v>
                </c:pt>
                <c:pt idx="6">
                  <c:v>0.762</c:v>
                </c:pt>
                <c:pt idx="7">
                  <c:v>0.745666666666667</c:v>
                </c:pt>
                <c:pt idx="8">
                  <c:v>0.729333333333333</c:v>
                </c:pt>
                <c:pt idx="9">
                  <c:v>0.713</c:v>
                </c:pt>
                <c:pt idx="10">
                  <c:v>0.696666666666667</c:v>
                </c:pt>
                <c:pt idx="11">
                  <c:v>0.680333333333333</c:v>
                </c:pt>
                <c:pt idx="12">
                  <c:v>0.664</c:v>
                </c:pt>
                <c:pt idx="13">
                  <c:v>0.647666666666667</c:v>
                </c:pt>
                <c:pt idx="14">
                  <c:v>0.631333333333333</c:v>
                </c:pt>
                <c:pt idx="15">
                  <c:v>0.615</c:v>
                </c:pt>
                <c:pt idx="16">
                  <c:v>0.598666666666667</c:v>
                </c:pt>
                <c:pt idx="17">
                  <c:v>0.582333333333333</c:v>
                </c:pt>
                <c:pt idx="18">
                  <c:v>0.566</c:v>
                </c:pt>
                <c:pt idx="19">
                  <c:v>0.549666666666667</c:v>
                </c:pt>
                <c:pt idx="20">
                  <c:v>0.533333333333333</c:v>
                </c:pt>
                <c:pt idx="21">
                  <c:v>0.517</c:v>
                </c:pt>
                <c:pt idx="22">
                  <c:v>0.500666666666667</c:v>
                </c:pt>
                <c:pt idx="23">
                  <c:v>0.484333333333333</c:v>
                </c:pt>
                <c:pt idx="24">
                  <c:v>0.468</c:v>
                </c:pt>
                <c:pt idx="25">
                  <c:v>0.451666666666667</c:v>
                </c:pt>
                <c:pt idx="26">
                  <c:v>0.435333333333333</c:v>
                </c:pt>
                <c:pt idx="27">
                  <c:v>0.419</c:v>
                </c:pt>
                <c:pt idx="28">
                  <c:v>0.402666666666667</c:v>
                </c:pt>
                <c:pt idx="29">
                  <c:v>0.386333333333333</c:v>
                </c:pt>
                <c:pt idx="30">
                  <c:v>0.37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'best fit'!$Y$4</c:f>
              <c:strCache>
                <c:ptCount val="1"/>
                <c:pt idx="0">
                  <c:v>AA</c:v>
                </c:pt>
              </c:strCache>
            </c:strRef>
          </c:tx>
          <c:spPr>
            <a:solidFill>
              <a:srgbClr val="ff6600"/>
            </a:solidFill>
            <a:ln w="12600">
              <a:solidFill>
                <a:srgbClr val="ff66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8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'Resistor Network'!$C$5:$C$35</c:f>
              <c:strCach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strCache>
            </c:strRef>
          </c:cat>
          <c:val>
            <c:numRef>
              <c:f>'best fit'!$X$5:$X$35</c:f>
              <c:numCache>
                <c:formatCode>0.00</c:formatCode>
                <c:ptCount val="31"/>
                <c:pt idx="0">
                  <c:v>0.858539680692664</c:v>
                </c:pt>
                <c:pt idx="1">
                  <c:v>0.844069338485535</c:v>
                </c:pt>
                <c:pt idx="2">
                  <c:v>0.828475706065165</c:v>
                </c:pt>
                <c:pt idx="3">
                  <c:v>0.811878786937308</c:v>
                </c:pt>
                <c:pt idx="4">
                  <c:v>0.795011186469825</c:v>
                </c:pt>
                <c:pt idx="5">
                  <c:v>0.777968400939316</c:v>
                </c:pt>
                <c:pt idx="6">
                  <c:v>0.761320499242383</c:v>
                </c:pt>
                <c:pt idx="7">
                  <c:v>0.744836988129137</c:v>
                </c:pt>
                <c:pt idx="8">
                  <c:v>0.728818684906352</c:v>
                </c:pt>
                <c:pt idx="9">
                  <c:v>0.712865058060126</c:v>
                </c:pt>
                <c:pt idx="10">
                  <c:v>0.697055338305947</c:v>
                </c:pt>
                <c:pt idx="11">
                  <c:v>0.68098129002701</c:v>
                </c:pt>
                <c:pt idx="12">
                  <c:v>0.664737456674126</c:v>
                </c:pt>
                <c:pt idx="13">
                  <c:v>0.648246846212222</c:v>
                </c:pt>
                <c:pt idx="14">
                  <c:v>0.631598301995202</c:v>
                </c:pt>
                <c:pt idx="15">
                  <c:v>0.614837775855572</c:v>
                </c:pt>
                <c:pt idx="16">
                  <c:v>0.598217714581754</c:v>
                </c:pt>
                <c:pt idx="17">
                  <c:v>0.581644599159336</c:v>
                </c:pt>
                <c:pt idx="18">
                  <c:v>0.565292564344103</c:v>
                </c:pt>
                <c:pt idx="19">
                  <c:v>0.549015542809024</c:v>
                </c:pt>
                <c:pt idx="20">
                  <c:v>0.532929525589964</c:v>
                </c:pt>
                <c:pt idx="21">
                  <c:v>0.516854907048205</c:v>
                </c:pt>
                <c:pt idx="22">
                  <c:v>0.500875259710932</c:v>
                </c:pt>
                <c:pt idx="23">
                  <c:v>0.484788326146277</c:v>
                </c:pt>
                <c:pt idx="24">
                  <c:v>0.468651123272953</c:v>
                </c:pt>
                <c:pt idx="25">
                  <c:v>0.45238926643964</c:v>
                </c:pt>
                <c:pt idx="26">
                  <c:v>0.435949481190452</c:v>
                </c:pt>
                <c:pt idx="27">
                  <c:v>0.419358381276921</c:v>
                </c:pt>
                <c:pt idx="28">
                  <c:v>0.402701471849488</c:v>
                </c:pt>
                <c:pt idx="29">
                  <c:v>0.385971551883377</c:v>
                </c:pt>
                <c:pt idx="30">
                  <c:v>0.369273208672787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9796226"/>
        <c:axId val="85087125"/>
      </c:lineChart>
      <c:catAx>
        <c:axId val="69796226"/>
        <c:scaling>
          <c:orientation val="minMax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377551020408163"/>
              <c:y val="0.860307351515991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85087125"/>
        <c:crosses val="autoZero"/>
        <c:auto val="1"/>
        <c:lblAlgn val="ctr"/>
        <c:lblOffset val="100"/>
        <c:noMultiLvlLbl val="0"/>
      </c:catAx>
      <c:valAx>
        <c:axId val="85087125"/>
        <c:scaling>
          <c:orientation val="minMax"/>
          <c:max val="1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0.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69796226"/>
        <c:crosses val="autoZero"/>
        <c:crossBetween val="midCat"/>
      </c:valAx>
      <c:spPr>
        <a:noFill/>
        <a:ln w="12600">
          <a:solidFill>
            <a:srgbClr val="808080"/>
          </a:solidFill>
          <a:round/>
        </a:ln>
      </c:spPr>
    </c:plotArea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Calculated vs Real Temp</a:t>
            </a:r>
          </a:p>
        </c:rich>
      </c:tx>
      <c:layout>
        <c:manualLayout>
          <c:xMode val="edge"/>
          <c:yMode val="edge"/>
          <c:x val="0.289011735040248"/>
          <c:y val="0.036965249896165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142857143"/>
          <c:y val="0.208777516267479"/>
          <c:w val="0.789545145960625"/>
          <c:h val="0.538418939498823"/>
        </c:manualLayout>
      </c:layout>
      <c:lineChart>
        <c:grouping val="standard"/>
        <c:varyColors val="0"/>
        <c:ser>
          <c:idx val="0"/>
          <c:order val="0"/>
          <c:tx>
            <c:strRef>
              <c:f>Digital!$C$4</c:f>
              <c:strCache>
                <c:ptCount val="1"/>
                <c:pt idx="0">
                  <c:v>Temperature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8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Digital!$C$5:$C$35</c:f>
              <c:strCach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strCache>
            </c:strRef>
          </c:cat>
          <c:val>
            <c:numRef>
              <c:f>Digital!$C$5:$C$35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Digital!$AD$4</c:f>
              <c:strCache>
                <c:ptCount val="1"/>
                <c:pt idx="0">
                  <c:v>calculated value</c:v>
                </c:pt>
              </c:strCache>
            </c:strRef>
          </c:tx>
          <c:spPr>
            <a:solidFill>
              <a:srgbClr val="ff00ff"/>
            </a:solidFill>
            <a:ln w="12600">
              <a:solidFill>
                <a:srgbClr val="ff00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8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Digital!$C$5:$C$35</c:f>
              <c:strCach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strCache>
            </c:strRef>
          </c:cat>
          <c:val>
            <c:numRef>
              <c:f>Digital!$AD$5:$AD$35</c:f>
              <c:numCache>
                <c:formatCode>0.0</c:formatCode>
                <c:ptCount val="31"/>
                <c:pt idx="0">
                  <c:v>-39.4</c:v>
                </c:pt>
                <c:pt idx="1">
                  <c:v>-35</c:v>
                </c:pt>
                <c:pt idx="2">
                  <c:v>-30.2</c:v>
                </c:pt>
                <c:pt idx="3">
                  <c:v>-25.1</c:v>
                </c:pt>
                <c:pt idx="4">
                  <c:v>-20</c:v>
                </c:pt>
                <c:pt idx="5">
                  <c:v>-14.8</c:v>
                </c:pt>
                <c:pt idx="6">
                  <c:v>-9.7</c:v>
                </c:pt>
                <c:pt idx="7">
                  <c:v>-4.6</c:v>
                </c:pt>
                <c:pt idx="8">
                  <c:v>0.3</c:v>
                </c:pt>
                <c:pt idx="9">
                  <c:v>5.1</c:v>
                </c:pt>
                <c:pt idx="10">
                  <c:v>10</c:v>
                </c:pt>
                <c:pt idx="11">
                  <c:v>14.9</c:v>
                </c:pt>
                <c:pt idx="12">
                  <c:v>19.9</c:v>
                </c:pt>
                <c:pt idx="13">
                  <c:v>24.9</c:v>
                </c:pt>
                <c:pt idx="14">
                  <c:v>30</c:v>
                </c:pt>
                <c:pt idx="15">
                  <c:v>35.2</c:v>
                </c:pt>
                <c:pt idx="16">
                  <c:v>40.3</c:v>
                </c:pt>
                <c:pt idx="17">
                  <c:v>45.3</c:v>
                </c:pt>
                <c:pt idx="18">
                  <c:v>50.3</c:v>
                </c:pt>
                <c:pt idx="19">
                  <c:v>55.3</c:v>
                </c:pt>
                <c:pt idx="20">
                  <c:v>60.2</c:v>
                </c:pt>
                <c:pt idx="21">
                  <c:v>65.2</c:v>
                </c:pt>
                <c:pt idx="22">
                  <c:v>70.1</c:v>
                </c:pt>
                <c:pt idx="23">
                  <c:v>75</c:v>
                </c:pt>
                <c:pt idx="24">
                  <c:v>79.9</c:v>
                </c:pt>
                <c:pt idx="25">
                  <c:v>84.9</c:v>
                </c:pt>
                <c:pt idx="26">
                  <c:v>89.9</c:v>
                </c:pt>
                <c:pt idx="27">
                  <c:v>95</c:v>
                </c:pt>
                <c:pt idx="28">
                  <c:v>100.1</c:v>
                </c:pt>
                <c:pt idx="29">
                  <c:v>105.2</c:v>
                </c:pt>
                <c:pt idx="30">
                  <c:v>110.3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50780"/>
        <c:axId val="85381825"/>
      </c:lineChart>
      <c:catAx>
        <c:axId val="950780"/>
        <c:scaling>
          <c:orientation val="minMax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395887886722917"/>
              <c:y val="0.860307351515991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none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85381825"/>
        <c:crosses val="autoZero"/>
        <c:auto val="1"/>
        <c:lblAlgn val="ctr"/>
        <c:lblOffset val="100"/>
        <c:noMultiLvlLbl val="0"/>
      </c:catAx>
      <c:valAx>
        <c:axId val="85381825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0.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950780"/>
        <c:crosses val="autoZero"/>
        <c:crossBetween val="midCat"/>
      </c:valAx>
      <c:spPr>
        <a:noFill/>
        <a:ln w="12600">
          <a:solidFill>
            <a:srgbClr val="808080"/>
          </a:solidFill>
          <a:round/>
        </a:ln>
      </c:spPr>
    </c:plotArea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Gas Gauge Temperature Tolerance
(uncalibrated)</a:t>
            </a:r>
          </a:p>
        </c:rich>
      </c:tx>
      <c:layout>
        <c:manualLayout>
          <c:xMode val="edge"/>
          <c:yMode val="edge"/>
          <c:x val="0.2031708749266"/>
          <c:y val="0.0365567664505449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18301037385"/>
          <c:y val="0.259070216581597"/>
          <c:w val="0.703855940497162"/>
          <c:h val="0.489032970064837"/>
        </c:manualLayout>
      </c:layout>
      <c:scatterChart>
        <c:scatterStyle val="line"/>
        <c:varyColors val="0"/>
        <c:ser>
          <c:idx val="0"/>
          <c:order val="0"/>
          <c:tx>
            <c:strRef>
              <c:f>Digital!$AH$4</c:f>
              <c:strCache>
                <c:ptCount val="1"/>
                <c:pt idx="0">
                  <c:v>Error nom</c:v>
                </c:pt>
              </c:strCache>
            </c:strRef>
          </c:tx>
          <c:spPr>
            <a:solidFill>
              <a:srgbClr val="3366ff"/>
            </a:solidFill>
            <a:ln w="2556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Accuracy!$F$4:$F$34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Digital!$AH$5:$AH$40</c:f>
              <c:numCache>
                <c:formatCode>0.0</c:formatCode>
                <c:ptCount val="36"/>
                <c:pt idx="0">
                  <c:v>0.600000000000001</c:v>
                </c:pt>
                <c:pt idx="1">
                  <c:v>0</c:v>
                </c:pt>
                <c:pt idx="2">
                  <c:v>-0.199999999999999</c:v>
                </c:pt>
                <c:pt idx="3">
                  <c:v>-0.100000000000001</c:v>
                </c:pt>
                <c:pt idx="4">
                  <c:v>0</c:v>
                </c:pt>
                <c:pt idx="5">
                  <c:v>0.199999999999999</c:v>
                </c:pt>
                <c:pt idx="6">
                  <c:v>0.300000000000001</c:v>
                </c:pt>
                <c:pt idx="7">
                  <c:v>0.4</c:v>
                </c:pt>
                <c:pt idx="8">
                  <c:v>0.3</c:v>
                </c:pt>
                <c:pt idx="9">
                  <c:v>0.0999999999999996</c:v>
                </c:pt>
                <c:pt idx="10">
                  <c:v>0</c:v>
                </c:pt>
                <c:pt idx="11">
                  <c:v>-0.0999999999999996</c:v>
                </c:pt>
                <c:pt idx="12">
                  <c:v>-0.100000000000001</c:v>
                </c:pt>
                <c:pt idx="13">
                  <c:v>-0.100000000000001</c:v>
                </c:pt>
                <c:pt idx="14">
                  <c:v>0</c:v>
                </c:pt>
                <c:pt idx="15">
                  <c:v>0.200000000000003</c:v>
                </c:pt>
                <c:pt idx="16">
                  <c:v>0.299999999999997</c:v>
                </c:pt>
                <c:pt idx="17">
                  <c:v>0.299999999999997</c:v>
                </c:pt>
                <c:pt idx="18">
                  <c:v>0.299999999999997</c:v>
                </c:pt>
                <c:pt idx="19">
                  <c:v>0.299999999999997</c:v>
                </c:pt>
                <c:pt idx="20">
                  <c:v>0.200000000000003</c:v>
                </c:pt>
                <c:pt idx="21">
                  <c:v>0.200000000000003</c:v>
                </c:pt>
                <c:pt idx="22">
                  <c:v>0.0999999999999943</c:v>
                </c:pt>
                <c:pt idx="23">
                  <c:v>0</c:v>
                </c:pt>
                <c:pt idx="24">
                  <c:v>-0.0999999999999943</c:v>
                </c:pt>
                <c:pt idx="25">
                  <c:v>-0.0999999999999943</c:v>
                </c:pt>
                <c:pt idx="26">
                  <c:v>-0.0999999999999943</c:v>
                </c:pt>
                <c:pt idx="27">
                  <c:v>0</c:v>
                </c:pt>
                <c:pt idx="28">
                  <c:v>0.0999999999999943</c:v>
                </c:pt>
                <c:pt idx="29">
                  <c:v>0.200000000000003</c:v>
                </c:pt>
                <c:pt idx="30">
                  <c:v>0.299999999999997</c:v>
                </c:pt>
                <c:pt idx="31">
                  <c:v>107.4</c:v>
                </c:pt>
                <c:pt idx="32">
                  <c:v>222.4</c:v>
                </c:pt>
                <c:pt idx="33">
                  <c:v>222.4</c:v>
                </c:pt>
                <c:pt idx="34">
                  <c:v>222.4</c:v>
                </c:pt>
                <c:pt idx="35">
                  <c:v>222.4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Digital!$AK$4</c:f>
              <c:strCache>
                <c:ptCount val="1"/>
                <c:pt idx="0">
                  <c:v>Error min</c:v>
                </c:pt>
              </c:strCache>
            </c:strRef>
          </c:tx>
          <c:spPr>
            <a:solidFill>
              <a:srgbClr val="3366ff"/>
            </a:solidFill>
            <a:ln w="324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32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Accuracy!$F$4:$F$34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Digital!$AK$5:$AK$40</c:f>
              <c:numCache>
                <c:formatCode>0.00</c:formatCode>
                <c:ptCount val="36"/>
                <c:pt idx="0">
                  <c:v>-0.200000000000003</c:v>
                </c:pt>
                <c:pt idx="1">
                  <c:v>-0.799999999999997</c:v>
                </c:pt>
                <c:pt idx="2">
                  <c:v>-1.1</c:v>
                </c:pt>
                <c:pt idx="3">
                  <c:v>-1</c:v>
                </c:pt>
                <c:pt idx="4">
                  <c:v>-0.800000000000001</c:v>
                </c:pt>
                <c:pt idx="5">
                  <c:v>-0.6</c:v>
                </c:pt>
                <c:pt idx="6">
                  <c:v>-0.4</c:v>
                </c:pt>
                <c:pt idx="7">
                  <c:v>-0.4</c:v>
                </c:pt>
                <c:pt idx="8">
                  <c:v>-0.4</c:v>
                </c:pt>
                <c:pt idx="9">
                  <c:v>-0.5</c:v>
                </c:pt>
                <c:pt idx="10">
                  <c:v>-0.6</c:v>
                </c:pt>
                <c:pt idx="11">
                  <c:v>-0.699999999999999</c:v>
                </c:pt>
                <c:pt idx="12">
                  <c:v>-0.699999999999999</c:v>
                </c:pt>
                <c:pt idx="13">
                  <c:v>-0.600000000000001</c:v>
                </c:pt>
                <c:pt idx="14">
                  <c:v>-0.600000000000001</c:v>
                </c:pt>
                <c:pt idx="15">
                  <c:v>-0.5</c:v>
                </c:pt>
                <c:pt idx="16">
                  <c:v>-0.5</c:v>
                </c:pt>
                <c:pt idx="17">
                  <c:v>-0.5</c:v>
                </c:pt>
                <c:pt idx="18">
                  <c:v>-0.5</c:v>
                </c:pt>
                <c:pt idx="19">
                  <c:v>-0.600000000000001</c:v>
                </c:pt>
                <c:pt idx="20">
                  <c:v>-0.799999999999997</c:v>
                </c:pt>
                <c:pt idx="21">
                  <c:v>-0.900000000000006</c:v>
                </c:pt>
                <c:pt idx="22">
                  <c:v>-1.09999999999999</c:v>
                </c:pt>
                <c:pt idx="23">
                  <c:v>-1.2</c:v>
                </c:pt>
                <c:pt idx="24">
                  <c:v>-1.40000000000001</c:v>
                </c:pt>
                <c:pt idx="25">
                  <c:v>-1.5</c:v>
                </c:pt>
                <c:pt idx="26">
                  <c:v>-1.59999999999999</c:v>
                </c:pt>
                <c:pt idx="27">
                  <c:v>-1.59999999999999</c:v>
                </c:pt>
                <c:pt idx="28">
                  <c:v>-1.59999999999999</c:v>
                </c:pt>
                <c:pt idx="29">
                  <c:v>-1.59999999999999</c:v>
                </c:pt>
                <c:pt idx="30">
                  <c:v>-1.59999999999999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Digital!$AL$4</c:f>
              <c:strCache>
                <c:ptCount val="1"/>
                <c:pt idx="0">
                  <c:v>Error max</c:v>
                </c:pt>
              </c:strCache>
            </c:strRef>
          </c:tx>
          <c:spPr>
            <a:solidFill>
              <a:srgbClr val="3366ff"/>
            </a:solidFill>
            <a:ln w="324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32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Accuracy!$F$4:$F$34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Digital!$AL$5:$AL$40</c:f>
              <c:numCache>
                <c:formatCode>0.00</c:formatCode>
                <c:ptCount val="36"/>
                <c:pt idx="0">
                  <c:v>1.3</c:v>
                </c:pt>
                <c:pt idx="1">
                  <c:v>0.799999999999997</c:v>
                </c:pt>
                <c:pt idx="2">
                  <c:v>0.600000000000001</c:v>
                </c:pt>
                <c:pt idx="3">
                  <c:v>0.699999999999999</c:v>
                </c:pt>
                <c:pt idx="4">
                  <c:v>0.899999999999999</c:v>
                </c:pt>
                <c:pt idx="5">
                  <c:v>1</c:v>
                </c:pt>
                <c:pt idx="6">
                  <c:v>1.1</c:v>
                </c:pt>
                <c:pt idx="7">
                  <c:v>1.1</c:v>
                </c:pt>
                <c:pt idx="8">
                  <c:v>0.9</c:v>
                </c:pt>
                <c:pt idx="9">
                  <c:v>0.8</c:v>
                </c:pt>
                <c:pt idx="10">
                  <c:v>0.6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0.699999999999999</c:v>
                </c:pt>
                <c:pt idx="15">
                  <c:v>0.899999999999999</c:v>
                </c:pt>
                <c:pt idx="16">
                  <c:v>1</c:v>
                </c:pt>
                <c:pt idx="17">
                  <c:v>1.1</c:v>
                </c:pt>
                <c:pt idx="18">
                  <c:v>1.2</c:v>
                </c:pt>
                <c:pt idx="19">
                  <c:v>1.3</c:v>
                </c:pt>
                <c:pt idx="20">
                  <c:v>1.3</c:v>
                </c:pt>
                <c:pt idx="21">
                  <c:v>1.3</c:v>
                </c:pt>
                <c:pt idx="22">
                  <c:v>1.2</c:v>
                </c:pt>
                <c:pt idx="23">
                  <c:v>1.2</c:v>
                </c:pt>
                <c:pt idx="24">
                  <c:v>1.3</c:v>
                </c:pt>
                <c:pt idx="25">
                  <c:v>1.3</c:v>
                </c:pt>
                <c:pt idx="26">
                  <c:v>1.5</c:v>
                </c:pt>
                <c:pt idx="27">
                  <c:v>1.59999999999999</c:v>
                </c:pt>
                <c:pt idx="28">
                  <c:v>1.8</c:v>
                </c:pt>
                <c:pt idx="29">
                  <c:v>2.09999999999999</c:v>
                </c:pt>
                <c:pt idx="30">
                  <c:v>2.2</c:v>
                </c:pt>
              </c:numCache>
            </c:numRef>
          </c:yVal>
          <c:smooth val="0"/>
        </c:ser>
        <c:axId val="27616195"/>
        <c:axId val="37883254"/>
      </c:scatterChart>
      <c:valAx>
        <c:axId val="27616195"/>
        <c:scaling>
          <c:orientation val="minMax"/>
          <c:max val="120"/>
          <c:min val="-40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424544920728127"/>
              <c:y val="0.860808387363774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60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37883254"/>
        <c:crossesAt val="-10"/>
        <c:crossBetween val="midCat"/>
        <c:majorUnit val="20"/>
      </c:valAx>
      <c:valAx>
        <c:axId val="37883254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ff"/>
                    </a:solidFill>
                    <a:uFillTx/>
                    <a:latin typeface="Arial"/>
                    <a:ea typeface="Arial"/>
                  </a:rPr>
                  <a:t>Temp error (°C)</a:t>
                </a:r>
              </a:p>
            </c:rich>
          </c:tx>
          <c:layout>
            <c:manualLayout>
              <c:xMode val="edge"/>
              <c:yMode val="edge"/>
              <c:x val="0.0416911332941867"/>
              <c:y val="0.329424748241137"/>
            </c:manualLayout>
          </c:layout>
          <c:overlay val="0"/>
          <c:spPr>
            <a:noFill/>
            <a:ln w="2556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ff"/>
                </a:solidFill>
                <a:uFillTx/>
                <a:latin typeface="Arial"/>
                <a:ea typeface="Arial"/>
              </a:defRPr>
            </a:pPr>
          </a:p>
        </c:txPr>
        <c:crossAx val="27616195"/>
        <c:crossesAt val="-40"/>
        <c:crossBetween val="midCat"/>
      </c:valAx>
      <c:spPr>
        <a:solidFill>
          <a:srgbClr val="ffffff"/>
        </a:solidFill>
        <a:ln w="12600">
          <a:solidFill>
            <a:srgbClr val="000000"/>
          </a:solidFill>
          <a:round/>
        </a:ln>
      </c:spPr>
    </c:plotArea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Gas Gauge Temperature Tolerance</a:t>
            </a:r>
          </a:p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(calibrated @ 25°C)</a:t>
            </a:r>
          </a:p>
        </c:rich>
      </c:tx>
      <c:layout>
        <c:manualLayout>
          <c:xMode val="edge"/>
          <c:yMode val="edge"/>
          <c:x val="0.203182487122884"/>
          <c:y val="0.0365567664505449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6703458425313"/>
          <c:y val="0.262794868257691"/>
          <c:w val="0.716703458425313"/>
          <c:h val="0.485308318388743"/>
        </c:manualLayout>
      </c:layout>
      <c:scatterChart>
        <c:scatterStyle val="line"/>
        <c:varyColors val="0"/>
        <c:ser>
          <c:idx val="0"/>
          <c:order val="0"/>
          <c:tx>
            <c:strRef>
              <c:f>Digital!$AR$4</c:f>
              <c:strCache>
                <c:ptCount val="1"/>
                <c:pt idx="0">
                  <c:v>Error nom</c:v>
                </c:pt>
              </c:strCache>
            </c:strRef>
          </c:tx>
          <c:spPr>
            <a:solidFill>
              <a:srgbClr val="3366ff"/>
            </a:solidFill>
            <a:ln w="2556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Accuracy!$F$4:$F$34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Digital!$AR$5:$AR$35</c:f>
              <c:numCache>
                <c:formatCode>0.0</c:formatCode>
                <c:ptCount val="31"/>
                <c:pt idx="0">
                  <c:v>0.700000000000003</c:v>
                </c:pt>
                <c:pt idx="1">
                  <c:v>0.100000000000001</c:v>
                </c:pt>
                <c:pt idx="2">
                  <c:v>-0.0999999999999979</c:v>
                </c:pt>
                <c:pt idx="3">
                  <c:v>0</c:v>
                </c:pt>
                <c:pt idx="4">
                  <c:v>0.100000000000001</c:v>
                </c:pt>
                <c:pt idx="5">
                  <c:v>0.300000000000001</c:v>
                </c:pt>
                <c:pt idx="6">
                  <c:v>0.400000000000002</c:v>
                </c:pt>
                <c:pt idx="7">
                  <c:v>0.500000000000002</c:v>
                </c:pt>
                <c:pt idx="8">
                  <c:v>0.400000000000001</c:v>
                </c:pt>
                <c:pt idx="9">
                  <c:v>0.200000000000001</c:v>
                </c:pt>
                <c:pt idx="10">
                  <c:v>0.100000000000001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0.100000000000001</c:v>
                </c:pt>
                <c:pt idx="15">
                  <c:v>0.300000000000004</c:v>
                </c:pt>
                <c:pt idx="16">
                  <c:v>0.399999999999999</c:v>
                </c:pt>
                <c:pt idx="17">
                  <c:v>0.399999999999999</c:v>
                </c:pt>
                <c:pt idx="18">
                  <c:v>0.399999999999999</c:v>
                </c:pt>
                <c:pt idx="19">
                  <c:v>0.399999999999999</c:v>
                </c:pt>
                <c:pt idx="20">
                  <c:v>0.300000000000004</c:v>
                </c:pt>
                <c:pt idx="21">
                  <c:v>0.300000000000011</c:v>
                </c:pt>
                <c:pt idx="22">
                  <c:v>0.199999999999989</c:v>
                </c:pt>
                <c:pt idx="23">
                  <c:v>0.0999999999999943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0.0999999999999943</c:v>
                </c:pt>
                <c:pt idx="28">
                  <c:v>0.199999999999989</c:v>
                </c:pt>
                <c:pt idx="29">
                  <c:v>0.300000000000011</c:v>
                </c:pt>
                <c:pt idx="30">
                  <c:v>0.400000000000006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Digital!$AU$4</c:f>
              <c:strCache>
                <c:ptCount val="1"/>
                <c:pt idx="0">
                  <c:v>Error min</c:v>
                </c:pt>
              </c:strCache>
            </c:strRef>
          </c:tx>
          <c:spPr>
            <a:solidFill>
              <a:srgbClr val="3366ff"/>
            </a:solidFill>
            <a:ln w="324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32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Accuracy!$F$4:$F$34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Digital!$AU$5:$AU$35</c:f>
              <c:numCache>
                <c:formatCode>0.00</c:formatCode>
                <c:ptCount val="31"/>
                <c:pt idx="0">
                  <c:v>0.399999999999999</c:v>
                </c:pt>
                <c:pt idx="1">
                  <c:v>-0.199999999999996</c:v>
                </c:pt>
                <c:pt idx="2">
                  <c:v>-0.5</c:v>
                </c:pt>
                <c:pt idx="3">
                  <c:v>-0.399999999999999</c:v>
                </c:pt>
                <c:pt idx="4">
                  <c:v>-0.199999999999999</c:v>
                </c:pt>
                <c:pt idx="5">
                  <c:v>0</c:v>
                </c:pt>
                <c:pt idx="6">
                  <c:v>0.200000000000001</c:v>
                </c:pt>
                <c:pt idx="7">
                  <c:v>0.200000000000001</c:v>
                </c:pt>
                <c:pt idx="8">
                  <c:v>0.200000000000001</c:v>
                </c:pt>
                <c:pt idx="9">
                  <c:v>0.100000000000001</c:v>
                </c:pt>
                <c:pt idx="10">
                  <c:v>0</c:v>
                </c:pt>
                <c:pt idx="11">
                  <c:v>-0.0999999999999979</c:v>
                </c:pt>
                <c:pt idx="12">
                  <c:v>-0.0999999999999979</c:v>
                </c:pt>
                <c:pt idx="13">
                  <c:v>0</c:v>
                </c:pt>
                <c:pt idx="14">
                  <c:v>0</c:v>
                </c:pt>
                <c:pt idx="15">
                  <c:v>0.100000000000001</c:v>
                </c:pt>
                <c:pt idx="16">
                  <c:v>0.100000000000001</c:v>
                </c:pt>
                <c:pt idx="17">
                  <c:v>0.100000000000001</c:v>
                </c:pt>
                <c:pt idx="18">
                  <c:v>0.100000000000001</c:v>
                </c:pt>
                <c:pt idx="19">
                  <c:v>0</c:v>
                </c:pt>
                <c:pt idx="20">
                  <c:v>-0.199999999999996</c:v>
                </c:pt>
                <c:pt idx="21">
                  <c:v>-0.300000000000011</c:v>
                </c:pt>
                <c:pt idx="22">
                  <c:v>-0.5</c:v>
                </c:pt>
                <c:pt idx="23">
                  <c:v>-0.599999999999994</c:v>
                </c:pt>
                <c:pt idx="24">
                  <c:v>-0.800000000000011</c:v>
                </c:pt>
                <c:pt idx="25">
                  <c:v>-0.900000000000006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Digital!$AV$4</c:f>
              <c:strCache>
                <c:ptCount val="1"/>
                <c:pt idx="0">
                  <c:v>Error max</c:v>
                </c:pt>
              </c:strCache>
            </c:strRef>
          </c:tx>
          <c:spPr>
            <a:solidFill>
              <a:srgbClr val="3366ff"/>
            </a:solidFill>
            <a:ln w="324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32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Accuracy!$F$4:$F$34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Digital!$AV$5:$AV$35</c:f>
              <c:numCache>
                <c:formatCode>0.00</c:formatCode>
                <c:ptCount val="31"/>
                <c:pt idx="0">
                  <c:v>0.799999999999997</c:v>
                </c:pt>
                <c:pt idx="1">
                  <c:v>0.299999999999997</c:v>
                </c:pt>
                <c:pt idx="2">
                  <c:v>0.100000000000001</c:v>
                </c:pt>
                <c:pt idx="3">
                  <c:v>0.199999999999999</c:v>
                </c:pt>
                <c:pt idx="4">
                  <c:v>0.399999999999999</c:v>
                </c:pt>
                <c:pt idx="5">
                  <c:v>0.5</c:v>
                </c:pt>
                <c:pt idx="6">
                  <c:v>0.6</c:v>
                </c:pt>
                <c:pt idx="7">
                  <c:v>0.6</c:v>
                </c:pt>
                <c:pt idx="8">
                  <c:v>0.4</c:v>
                </c:pt>
                <c:pt idx="9">
                  <c:v>0.3</c:v>
                </c:pt>
                <c:pt idx="10">
                  <c:v>0.0999999999999996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0.199999999999999</c:v>
                </c:pt>
                <c:pt idx="15">
                  <c:v>0.399999999999999</c:v>
                </c:pt>
                <c:pt idx="16">
                  <c:v>0.5</c:v>
                </c:pt>
                <c:pt idx="17">
                  <c:v>0.600000000000001</c:v>
                </c:pt>
                <c:pt idx="18">
                  <c:v>0.700000000000003</c:v>
                </c:pt>
                <c:pt idx="19">
                  <c:v>0.799999999999997</c:v>
                </c:pt>
                <c:pt idx="20">
                  <c:v>0.799999999999997</c:v>
                </c:pt>
                <c:pt idx="21">
                  <c:v>0.799999999999997</c:v>
                </c:pt>
                <c:pt idx="22">
                  <c:v>0.700000000000003</c:v>
                </c:pt>
                <c:pt idx="23">
                  <c:v>0.700000000000003</c:v>
                </c:pt>
                <c:pt idx="24">
                  <c:v>0.799999999999997</c:v>
                </c:pt>
                <c:pt idx="25">
                  <c:v>0.799999999999997</c:v>
                </c:pt>
                <c:pt idx="26">
                  <c:v>1</c:v>
                </c:pt>
                <c:pt idx="27">
                  <c:v>1.09999999999999</c:v>
                </c:pt>
                <c:pt idx="28">
                  <c:v>1.3</c:v>
                </c:pt>
                <c:pt idx="29">
                  <c:v>1.59999999999999</c:v>
                </c:pt>
                <c:pt idx="30">
                  <c:v>1.7</c:v>
                </c:pt>
              </c:numCache>
            </c:numRef>
          </c:yVal>
          <c:smooth val="0"/>
        </c:ser>
        <c:axId val="58415578"/>
        <c:axId val="94191072"/>
      </c:scatterChart>
      <c:valAx>
        <c:axId val="58415578"/>
        <c:scaling>
          <c:orientation val="minMax"/>
          <c:max val="120"/>
          <c:min val="-40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42457689477557"/>
              <c:y val="0.860808387363774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60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94191072"/>
        <c:crossesAt val="-10"/>
        <c:crossBetween val="midCat"/>
        <c:majorUnit val="20"/>
      </c:valAx>
      <c:valAx>
        <c:axId val="9419107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ff"/>
                    </a:solidFill>
                    <a:uFillTx/>
                    <a:latin typeface="Arial"/>
                    <a:ea typeface="Arial"/>
                  </a:rPr>
                  <a:t>Temp error (°C)</a:t>
                </a:r>
              </a:p>
            </c:rich>
          </c:tx>
          <c:layout>
            <c:manualLayout>
              <c:xMode val="edge"/>
              <c:yMode val="edge"/>
              <c:x val="0.0416666666666667"/>
              <c:y val="0.329424748241137"/>
            </c:manualLayout>
          </c:layout>
          <c:overlay val="0"/>
          <c:spPr>
            <a:noFill/>
            <a:ln w="2556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ff"/>
                </a:solidFill>
                <a:uFillTx/>
                <a:latin typeface="Arial"/>
                <a:ea typeface="Arial"/>
              </a:defRPr>
            </a:pPr>
          </a:p>
        </c:txPr>
        <c:crossAx val="58415578"/>
        <c:crossesAt val="-40"/>
        <c:crossBetween val="midCat"/>
      </c:valAx>
      <c:spPr>
        <a:solidFill>
          <a:srgbClr val="ffffff"/>
        </a:solidFill>
        <a:ln w="12600">
          <a:solidFill>
            <a:srgbClr val="000000"/>
          </a:solidFill>
          <a:round/>
        </a:ln>
      </c:spPr>
    </c:plotArea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lang="en-US" sz="1000" strike="noStrike" u="none">
                <a:solidFill>
                  <a:srgbClr val="000000"/>
                </a:solidFill>
                <a:uFillTx/>
                <a:latin typeface="Arial"/>
                <a:ea typeface="Arial"/>
              </a:rPr>
              <a:t>Thermistor Temp. Error</a:t>
            </a:r>
          </a:p>
        </c:rich>
      </c:tx>
      <c:layout>
        <c:manualLayout>
          <c:xMode val="edge"/>
          <c:yMode val="edge"/>
          <c:x val="0.304725438924169"/>
          <c:y val="0.0369595536959554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515875980575"/>
          <c:y val="0.2139470013947"/>
          <c:w val="0.534927157265596"/>
          <c:h val="0.54602510460251"/>
        </c:manualLayout>
      </c:layout>
      <c:scatterChart>
        <c:scatterStyle val="line"/>
        <c:varyColors val="0"/>
        <c:ser>
          <c:idx val="0"/>
          <c:order val="0"/>
          <c:tx>
            <c:strRef>
              <c:f>Thermistor!$W$4</c:f>
              <c:strCache>
                <c:ptCount val="1"/>
                <c:pt idx="0">
                  <c:v>Min Err</c:v>
                </c:pt>
              </c:strCache>
            </c:strRef>
          </c:tx>
          <c:spPr>
            <a:solidFill>
              <a:srgbClr val="000000"/>
            </a:solidFill>
            <a:ln w="2556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Thermistor!$C$5:$C$35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Thermistor!$W$5:$W$35</c:f>
              <c:numCache>
                <c:formatCode>0.00%</c:formatCode>
                <c:ptCount val="31"/>
                <c:pt idx="0">
                  <c:v>-0.038648781611781</c:v>
                </c:pt>
                <c:pt idx="1">
                  <c:v>-0.0360632127884407</c:v>
                </c:pt>
                <c:pt idx="2">
                  <c:v>-0.0335703559064552</c:v>
                </c:pt>
                <c:pt idx="3">
                  <c:v>-0.0311232162226945</c:v>
                </c:pt>
                <c:pt idx="4">
                  <c:v>-0.0287638924807286</c:v>
                </c:pt>
                <c:pt idx="5">
                  <c:v>-0.0264484135469663</c:v>
                </c:pt>
                <c:pt idx="6">
                  <c:v>-0.0242144737061226</c:v>
                </c:pt>
                <c:pt idx="7">
                  <c:v>-0.0220127394624896</c:v>
                </c:pt>
                <c:pt idx="8">
                  <c:v>-0.0198856429453848</c:v>
                </c:pt>
                <c:pt idx="9">
                  <c:v>-0.0177973338788123</c:v>
                </c:pt>
                <c:pt idx="10">
                  <c:v>-0.0157801238823116</c:v>
                </c:pt>
                <c:pt idx="11">
                  <c:v>-0.0138000489483666</c:v>
                </c:pt>
                <c:pt idx="12">
                  <c:v>-0.0118771744174866</c:v>
                </c:pt>
                <c:pt idx="13">
                  <c:v>-0.01</c:v>
                </c:pt>
                <c:pt idx="14">
                  <c:v>-0.0118274801430941</c:v>
                </c:pt>
                <c:pt idx="15">
                  <c:v>-0.0136097080085544</c:v>
                </c:pt>
                <c:pt idx="16">
                  <c:v>-0.0153324070992173</c:v>
                </c:pt>
                <c:pt idx="17">
                  <c:v>-0.0170149926782409</c:v>
                </c:pt>
                <c:pt idx="18">
                  <c:v>-0.0186450263001614</c:v>
                </c:pt>
                <c:pt idx="19">
                  <c:v>-0.0202386186026615</c:v>
                </c:pt>
                <c:pt idx="20">
                  <c:v>-0.0217828692131727</c:v>
                </c:pt>
                <c:pt idx="21">
                  <c:v>-0.0232917922556842</c:v>
                </c:pt>
                <c:pt idx="22">
                  <c:v>-0.0247536210647541</c:v>
                </c:pt>
                <c:pt idx="23">
                  <c:v>-0.0261832388369048</c:v>
                </c:pt>
                <c:pt idx="24">
                  <c:v>-0.0275726724570912</c:v>
                </c:pt>
                <c:pt idx="25">
                  <c:v>-0.0289270230671478</c:v>
                </c:pt>
                <c:pt idx="26">
                  <c:v>-0.0302505730097463</c:v>
                </c:pt>
                <c:pt idx="27">
                  <c:v>-0.0315424433549617</c:v>
                </c:pt>
                <c:pt idx="28">
                  <c:v>-0.0327989277357869</c:v>
                </c:pt>
                <c:pt idx="29">
                  <c:v>-0.034024712057855</c:v>
                </c:pt>
                <c:pt idx="30">
                  <c:v>-0.0352171068573505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Thermistor!$X$4</c:f>
              <c:strCache>
                <c:ptCount val="1"/>
                <c:pt idx="0">
                  <c:v>Max Err</c:v>
                </c:pt>
              </c:strCache>
            </c:strRef>
          </c:tx>
          <c:spPr>
            <a:solidFill>
              <a:srgbClr val="000000"/>
            </a:solidFill>
            <a:ln w="2556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Thermistor!$C$5:$C$35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Thermistor!$X$5:$X$35</c:f>
              <c:numCache>
                <c:formatCode>0.00%</c:formatCode>
                <c:ptCount val="31"/>
                <c:pt idx="0">
                  <c:v>0.0400985413805484</c:v>
                </c:pt>
                <c:pt idx="1">
                  <c:v>0.0373086837908476</c:v>
                </c:pt>
                <c:pt idx="2">
                  <c:v>0.0346329979745688</c:v>
                </c:pt>
                <c:pt idx="3">
                  <c:v>0.0320197745906823</c:v>
                </c:pt>
                <c:pt idx="4">
                  <c:v>0.0295127953530705</c:v>
                </c:pt>
                <c:pt idx="5">
                  <c:v>0.0270642192089303</c:v>
                </c:pt>
                <c:pt idx="6">
                  <c:v>0.0247128831657419</c:v>
                </c:pt>
                <c:pt idx="7">
                  <c:v>0.022405955932848</c:v>
                </c:pt>
                <c:pt idx="8">
                  <c:v>0.0201870759294291</c:v>
                </c:pt>
                <c:pt idx="9">
                  <c:v>0.0180180063537201</c:v>
                </c:pt>
                <c:pt idx="10">
                  <c:v>0.0159315253255834</c:v>
                </c:pt>
                <c:pt idx="11">
                  <c:v>0.0138917558592024</c:v>
                </c:pt>
                <c:pt idx="12">
                  <c:v>0.0119187353156669</c:v>
                </c:pt>
                <c:pt idx="13">
                  <c:v>0.01</c:v>
                </c:pt>
                <c:pt idx="14">
                  <c:v>0.0118678468662461</c:v>
                </c:pt>
                <c:pt idx="15">
                  <c:v>0.0136961080398301</c:v>
                </c:pt>
                <c:pt idx="16">
                  <c:v>0.0154695931998161</c:v>
                </c:pt>
                <c:pt idx="17">
                  <c:v>0.0172077829796484</c:v>
                </c:pt>
                <c:pt idx="18">
                  <c:v>0.018897368227772</c:v>
                </c:pt>
                <c:pt idx="19">
                  <c:v>0.0205546156288989</c:v>
                </c:pt>
                <c:pt idx="20">
                  <c:v>0.0221657017964227</c:v>
                </c:pt>
                <c:pt idx="21">
                  <c:v>0.0237448524255213</c:v>
                </c:pt>
                <c:pt idx="22">
                  <c:v>0.0252793771884294</c:v>
                </c:pt>
                <c:pt idx="23">
                  <c:v>0.0267845449751261</c:v>
                </c:pt>
                <c:pt idx="24">
                  <c:v>0.0282516458340474</c:v>
                </c:pt>
                <c:pt idx="25">
                  <c:v>0.0296857432468136</c:v>
                </c:pt>
                <c:pt idx="26">
                  <c:v>0.0310910964941973</c:v>
                </c:pt>
                <c:pt idx="27">
                  <c:v>0.032466516616263</c:v>
                </c:pt>
                <c:pt idx="28">
                  <c:v>0.0338077868950653</c:v>
                </c:pt>
                <c:pt idx="29">
                  <c:v>0.0351196479675229</c:v>
                </c:pt>
                <c:pt idx="30">
                  <c:v>0.0363989733928234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Thermistor!$Z$4</c:f>
              <c:strCache>
                <c:ptCount val="1"/>
                <c:pt idx="0">
                  <c:v>Tol min</c:v>
                </c:pt>
              </c:strCache>
            </c:strRef>
          </c:tx>
          <c:spPr>
            <a:solidFill>
              <a:srgbClr val="3366ff"/>
            </a:solidFill>
            <a:ln w="2556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Thermistor!$C$5:$C$35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Thermistor!$Z$5:$Z$35</c:f>
              <c:numCache>
                <c:formatCode>0.00</c:formatCode>
                <c:ptCount val="31"/>
                <c:pt idx="0">
                  <c:v>-0.724931747261167</c:v>
                </c:pt>
                <c:pt idx="1">
                  <c:v>-0.703237611194368</c:v>
                </c:pt>
                <c:pt idx="2">
                  <c:v>-0.639641626476532</c:v>
                </c:pt>
                <c:pt idx="3">
                  <c:v>-0.621876119545846</c:v>
                </c:pt>
                <c:pt idx="4">
                  <c:v>-0.558967981709714</c:v>
                </c:pt>
                <c:pt idx="5">
                  <c:v>-0.537562394775648</c:v>
                </c:pt>
                <c:pt idx="6">
                  <c:v>-0.471452933983869</c:v>
                </c:pt>
                <c:pt idx="7">
                  <c:v>-0.465223181239651</c:v>
                </c:pt>
                <c:pt idx="8">
                  <c:v>-0.41857515211359</c:v>
                </c:pt>
                <c:pt idx="9">
                  <c:v>-0.410113525423185</c:v>
                </c:pt>
                <c:pt idx="10">
                  <c:v>-0.357751679739806</c:v>
                </c:pt>
                <c:pt idx="11">
                  <c:v>-0.339856538268236</c:v>
                </c:pt>
                <c:pt idx="12">
                  <c:v>-0.302053252948667</c:v>
                </c:pt>
                <c:pt idx="13">
                  <c:v>-0.26907354775426</c:v>
                </c:pt>
                <c:pt idx="14">
                  <c:v>-0.33685545683511</c:v>
                </c:pt>
                <c:pt idx="15">
                  <c:v>-0.423507971494928</c:v>
                </c:pt>
                <c:pt idx="16">
                  <c:v>-0.48203235962211</c:v>
                </c:pt>
                <c:pt idx="17">
                  <c:v>-0.563476619179937</c:v>
                </c:pt>
                <c:pt idx="18">
                  <c:v>-0.624822142611549</c:v>
                </c:pt>
                <c:pt idx="19">
                  <c:v>-0.710798453597931</c:v>
                </c:pt>
                <c:pt idx="20">
                  <c:v>-0.775017885898762</c:v>
                </c:pt>
                <c:pt idx="21">
                  <c:v>-0.858074493825882</c:v>
                </c:pt>
                <c:pt idx="22">
                  <c:v>-0.914941444281283</c:v>
                </c:pt>
                <c:pt idx="23">
                  <c:v>-0.991855450132903</c:v>
                </c:pt>
                <c:pt idx="24">
                  <c:v>-1.05590955914232</c:v>
                </c:pt>
                <c:pt idx="25">
                  <c:v>-1.12043302703455</c:v>
                </c:pt>
                <c:pt idx="26">
                  <c:v>-1.19724540251957</c:v>
                </c:pt>
                <c:pt idx="27">
                  <c:v>-1.27902910679018</c:v>
                </c:pt>
                <c:pt idx="28">
                  <c:v>-1.34633711404587</c:v>
                </c:pt>
                <c:pt idx="29">
                  <c:v>-1.41309537560386</c:v>
                </c:pt>
                <c:pt idx="30">
                  <c:v>-1.46326076612399</c:v>
                </c:pt>
              </c:numCache>
            </c:numRef>
          </c:yVal>
          <c:smooth val="0"/>
        </c:ser>
        <c:axId val="11225376"/>
        <c:axId val="55437080"/>
      </c:scatterChart>
      <c:scatterChart>
        <c:scatterStyle val="line"/>
        <c:varyColors val="0"/>
        <c:ser>
          <c:idx val="3"/>
          <c:order val="3"/>
          <c:tx>
            <c:strRef>
              <c:f>Thermistor!$AA$4</c:f>
              <c:strCache>
                <c:ptCount val="1"/>
                <c:pt idx="0">
                  <c:v>Tol max</c:v>
                </c:pt>
              </c:strCache>
            </c:strRef>
          </c:tx>
          <c:spPr>
            <a:solidFill>
              <a:srgbClr val="3366ff"/>
            </a:solidFill>
            <a:ln w="25560">
              <a:solidFill>
                <a:srgbClr val="3366f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55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255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Thermistor!$C$5:$C$35</c:f>
              <c:numCache>
                <c:formatCode>General</c:formatCode>
                <c:ptCount val="31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</c:numCache>
            </c:numRef>
          </c:xVal>
          <c:yVal>
            <c:numRef>
              <c:f>Thermistor!$AA$5:$AA$35</c:f>
              <c:numCache>
                <c:formatCode>0.00</c:formatCode>
                <c:ptCount val="31"/>
                <c:pt idx="0">
                  <c:v>0.719815193607218</c:v>
                </c:pt>
                <c:pt idx="1">
                  <c:v>0.68568970186135</c:v>
                </c:pt>
                <c:pt idx="2">
                  <c:v>0.691600141716862</c:v>
                </c:pt>
                <c:pt idx="3">
                  <c:v>0.648780431742551</c:v>
                </c:pt>
                <c:pt idx="4">
                  <c:v>0.649302331056504</c:v>
                </c:pt>
                <c:pt idx="5">
                  <c:v>0.605419921449084</c:v>
                </c:pt>
                <c:pt idx="6">
                  <c:v>0.604462942624025</c:v>
                </c:pt>
                <c:pt idx="7">
                  <c:v>0.540404670207465</c:v>
                </c:pt>
                <c:pt idx="8">
                  <c:v>0.514929388267092</c:v>
                </c:pt>
                <c:pt idx="9">
                  <c:v>0.448277332773216</c:v>
                </c:pt>
                <c:pt idx="10">
                  <c:v>0.423761921511016</c:v>
                </c:pt>
                <c:pt idx="11">
                  <c:v>0.361792258483717</c:v>
                </c:pt>
                <c:pt idx="12">
                  <c:v>0.31759051170053</c:v>
                </c:pt>
                <c:pt idx="13">
                  <c:v>0.266013534295723</c:v>
                </c:pt>
                <c:pt idx="14">
                  <c:v>0.314292157594821</c:v>
                </c:pt>
                <c:pt idx="15">
                  <c:v>0.347055739145674</c:v>
                </c:pt>
                <c:pt idx="16">
                  <c:v>0.410204130616478</c:v>
                </c:pt>
                <c:pt idx="17">
                  <c:v>0.453925067736236</c:v>
                </c:pt>
                <c:pt idx="18">
                  <c:v>0.520192130719977</c:v>
                </c:pt>
                <c:pt idx="19">
                  <c:v>0.565419562687282</c:v>
                </c:pt>
                <c:pt idx="20">
                  <c:v>0.634812624362155</c:v>
                </c:pt>
                <c:pt idx="21">
                  <c:v>0.688857263515104</c:v>
                </c:pt>
                <c:pt idx="22">
                  <c:v>0.771370549704045</c:v>
                </c:pt>
                <c:pt idx="23">
                  <c:v>0.837395683717546</c:v>
                </c:pt>
                <c:pt idx="24">
                  <c:v>0.918930134248456</c:v>
                </c:pt>
                <c:pt idx="25">
                  <c:v>1.00302710966866</c:v>
                </c:pt>
                <c:pt idx="26">
                  <c:v>1.07823534923153</c:v>
                </c:pt>
                <c:pt idx="27">
                  <c:v>1.15167856235428</c:v>
                </c:pt>
                <c:pt idx="28">
                  <c:v>1.24221055386948</c:v>
                </c:pt>
                <c:pt idx="29">
                  <c:v>1.33633458898862</c:v>
                </c:pt>
                <c:pt idx="30">
                  <c:v>1.44957750725837</c:v>
                </c:pt>
              </c:numCache>
            </c:numRef>
          </c:yVal>
          <c:smooth val="0"/>
        </c:ser>
        <c:axId val="5581631"/>
        <c:axId val="49138987"/>
      </c:scatterChart>
      <c:valAx>
        <c:axId val="11225376"/>
        <c:scaling>
          <c:orientation val="minMax"/>
          <c:max val="120"/>
          <c:min val="-40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0.359450877848338"/>
              <c:y val="0.860251046025105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60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8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55437080"/>
        <c:crossesAt val="0"/>
        <c:crossBetween val="midCat"/>
        <c:majorUnit val="20"/>
      </c:valAx>
      <c:valAx>
        <c:axId val="55437080"/>
        <c:scaling>
          <c:orientation val="minMax"/>
          <c:max val="0.05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Resistance Error</a:t>
                </a:r>
              </a:p>
            </c:rich>
          </c:tx>
          <c:layout>
            <c:manualLayout>
              <c:xMode val="edge"/>
              <c:yMode val="edge"/>
              <c:x val="0.0417444901008592"/>
              <c:y val="0.286610878661088"/>
            </c:manualLayout>
          </c:layout>
          <c:overlay val="0"/>
          <c:spPr>
            <a:noFill/>
            <a:ln w="25560">
              <a:noFill/>
            </a:ln>
          </c:spPr>
        </c:title>
        <c:numFmt formatCode="0.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11225376"/>
        <c:crossesAt val="-40"/>
        <c:crossBetween val="midCat"/>
      </c:valAx>
      <c:valAx>
        <c:axId val="5581631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550" strike="noStrike" u="non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49138987"/>
        <c:crossBetween val="midCat"/>
      </c:valAx>
      <c:valAx>
        <c:axId val="49138987"/>
        <c:scaling>
          <c:orientation val="minMax"/>
          <c:max val="1.4"/>
        </c:scaling>
        <c:delete val="0"/>
        <c:axPos val="r"/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lang="en-US" sz="1000" strike="noStrike" u="none">
                    <a:solidFill>
                      <a:srgbClr val="3366ff"/>
                    </a:solidFill>
                    <a:uFillTx/>
                    <a:latin typeface="Arial"/>
                    <a:ea typeface="Arial"/>
                  </a:rPr>
                  <a:t>Temp Error (°C)</a:t>
                </a:r>
              </a:p>
            </c:rich>
          </c:tx>
          <c:layout>
            <c:manualLayout>
              <c:xMode val="edge"/>
              <c:yMode val="edge"/>
              <c:x val="0.825084049308928"/>
              <c:y val="0.302370990237099"/>
            </c:manualLayout>
          </c:layout>
          <c:overlay val="0"/>
          <c:spPr>
            <a:noFill/>
            <a:ln w="25560">
              <a:noFill/>
            </a:ln>
          </c:spPr>
        </c:title>
        <c:numFmt formatCode="0.0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1" sz="1000" strike="noStrike" u="none">
                <a:solidFill>
                  <a:srgbClr val="3366ff"/>
                </a:solidFill>
                <a:uFillTx/>
                <a:latin typeface="Arial"/>
                <a:ea typeface="Arial"/>
              </a:defRPr>
            </a:pPr>
          </a:p>
        </c:txPr>
        <c:crossAx val="5581631"/>
        <c:crosses val="max"/>
        <c:crossBetween val="midCat"/>
      </c:valAx>
      <c:spPr>
        <a:solidFill>
          <a:srgbClr val="ffffff"/>
        </a:solidFill>
        <a:ln w="12600">
          <a:solidFill>
            <a:srgbClr val="000000"/>
          </a:solidFill>
          <a:round/>
        </a:ln>
      </c:spPr>
    </c:plotArea>
    <c:plotVisOnly val="1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1</xdr:row>
      <xdr:rowOff>0</xdr:rowOff>
    </xdr:from>
    <xdr:to>
      <xdr:col>13</xdr:col>
      <xdr:colOff>611280</xdr:colOff>
      <xdr:row>16</xdr:row>
      <xdr:rowOff>161640</xdr:rowOff>
    </xdr:to>
    <xdr:graphicFrame>
      <xdr:nvGraphicFramePr>
        <xdr:cNvPr id="0" name="Chart 1"/>
        <xdr:cNvGraphicFramePr/>
      </xdr:nvGraphicFramePr>
      <xdr:xfrm>
        <a:off x="4316760" y="190440"/>
        <a:ext cx="3668760" cy="2590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17</xdr:row>
      <xdr:rowOff>0</xdr:rowOff>
    </xdr:from>
    <xdr:to>
      <xdr:col>13</xdr:col>
      <xdr:colOff>611280</xdr:colOff>
      <xdr:row>33</xdr:row>
      <xdr:rowOff>9000</xdr:rowOff>
    </xdr:to>
    <xdr:graphicFrame>
      <xdr:nvGraphicFramePr>
        <xdr:cNvPr id="1" name="Chart 5"/>
        <xdr:cNvGraphicFramePr/>
      </xdr:nvGraphicFramePr>
      <xdr:xfrm>
        <a:off x="4316760" y="2781360"/>
        <a:ext cx="3668760" cy="2599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654120</xdr:colOff>
      <xdr:row>33</xdr:row>
      <xdr:rowOff>9000</xdr:rowOff>
    </xdr:to>
    <xdr:graphicFrame>
      <xdr:nvGraphicFramePr>
        <xdr:cNvPr id="2" name="Chart 8"/>
        <xdr:cNvGraphicFramePr/>
      </xdr:nvGraphicFramePr>
      <xdr:xfrm>
        <a:off x="7985880" y="2781360"/>
        <a:ext cx="3711600" cy="2599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0</xdr:colOff>
      <xdr:row>17</xdr:row>
      <xdr:rowOff>0</xdr:rowOff>
    </xdr:from>
    <xdr:to>
      <xdr:col>14</xdr:col>
      <xdr:colOff>9000</xdr:colOff>
      <xdr:row>33</xdr:row>
      <xdr:rowOff>18360</xdr:rowOff>
    </xdr:to>
    <xdr:graphicFrame>
      <xdr:nvGraphicFramePr>
        <xdr:cNvPr id="3" name="Chart 67"/>
        <xdr:cNvGraphicFramePr/>
      </xdr:nvGraphicFramePr>
      <xdr:xfrm>
        <a:off x="4316760" y="2781360"/>
        <a:ext cx="3678120" cy="260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590400</xdr:colOff>
      <xdr:row>16</xdr:row>
      <xdr:rowOff>142920</xdr:rowOff>
    </xdr:from>
    <xdr:to>
      <xdr:col>20</xdr:col>
      <xdr:colOff>180360</xdr:colOff>
      <xdr:row>32</xdr:row>
      <xdr:rowOff>161280</xdr:rowOff>
    </xdr:to>
    <xdr:graphicFrame>
      <xdr:nvGraphicFramePr>
        <xdr:cNvPr id="4" name="Chart 68"/>
        <xdr:cNvGraphicFramePr/>
      </xdr:nvGraphicFramePr>
      <xdr:xfrm>
        <a:off x="7964640" y="2762280"/>
        <a:ext cx="3913560" cy="260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0</xdr:colOff>
      <xdr:row>1</xdr:row>
      <xdr:rowOff>0</xdr:rowOff>
    </xdr:from>
    <xdr:to>
      <xdr:col>20</xdr:col>
      <xdr:colOff>142560</xdr:colOff>
      <xdr:row>16</xdr:row>
      <xdr:rowOff>151920</xdr:rowOff>
    </xdr:to>
    <xdr:graphicFrame>
      <xdr:nvGraphicFramePr>
        <xdr:cNvPr id="5" name="Chart 134"/>
        <xdr:cNvGraphicFramePr/>
      </xdr:nvGraphicFramePr>
      <xdr:xfrm>
        <a:off x="7985880" y="190440"/>
        <a:ext cx="3854520" cy="2580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19080</xdr:colOff>
      <xdr:row>40</xdr:row>
      <xdr:rowOff>28080</xdr:rowOff>
    </xdr:from>
    <xdr:to>
      <xdr:col>6</xdr:col>
      <xdr:colOff>437760</xdr:colOff>
      <xdr:row>59</xdr:row>
      <xdr:rowOff>142560</xdr:rowOff>
    </xdr:to>
    <xdr:pic>
      <xdr:nvPicPr>
        <xdr:cNvPr id="6" name="Picture 139" descr=""/>
        <xdr:cNvPicPr/>
      </xdr:nvPicPr>
      <xdr:blipFill>
        <a:blip r:embed="rId7"/>
        <a:stretch/>
      </xdr:blipFill>
      <xdr:spPr>
        <a:xfrm>
          <a:off x="19080" y="6543360"/>
          <a:ext cx="3970080" cy="3390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25</xdr:col>
      <xdr:colOff>9360</xdr:colOff>
      <xdr:row>41</xdr:row>
      <xdr:rowOff>12240</xdr:rowOff>
    </xdr:from>
    <xdr:to>
      <xdr:col>27</xdr:col>
      <xdr:colOff>9000</xdr:colOff>
      <xdr:row>44</xdr:row>
      <xdr:rowOff>156240</xdr:rowOff>
    </xdr:to>
    <xdr:sp>
      <xdr:nvSpPr>
        <xdr:cNvPr id="7" name="Text Box 72"/>
        <xdr:cNvSpPr/>
      </xdr:nvSpPr>
      <xdr:spPr>
        <a:xfrm>
          <a:off x="15894000" y="6651000"/>
          <a:ext cx="1489320" cy="63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calculating tolerance using Steinberg Stein formula and Therm min/max values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21</xdr:col>
      <xdr:colOff>600120</xdr:colOff>
      <xdr:row>41</xdr:row>
      <xdr:rowOff>12240</xdr:rowOff>
    </xdr:from>
    <xdr:to>
      <xdr:col>24</xdr:col>
      <xdr:colOff>28440</xdr:colOff>
      <xdr:row>43</xdr:row>
      <xdr:rowOff>154800</xdr:rowOff>
    </xdr:to>
    <xdr:sp>
      <xdr:nvSpPr>
        <xdr:cNvPr id="8" name="Text Box 73"/>
        <xdr:cNvSpPr/>
      </xdr:nvSpPr>
      <xdr:spPr>
        <a:xfrm>
          <a:off x="14038560" y="6651000"/>
          <a:ext cx="1262880" cy="466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Resistance Error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28440</xdr:colOff>
      <xdr:row>40</xdr:row>
      <xdr:rowOff>145440</xdr:rowOff>
    </xdr:from>
    <xdr:to>
      <xdr:col>7</xdr:col>
      <xdr:colOff>580680</xdr:colOff>
      <xdr:row>43</xdr:row>
      <xdr:rowOff>154440</xdr:rowOff>
    </xdr:to>
    <xdr:sp>
      <xdr:nvSpPr>
        <xdr:cNvPr id="9" name="Text Box 74"/>
        <xdr:cNvSpPr/>
      </xdr:nvSpPr>
      <xdr:spPr>
        <a:xfrm>
          <a:off x="4160880" y="6622560"/>
          <a:ext cx="1297080" cy="494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Steinberg-Stein calculated temperature error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9</xdr:col>
      <xdr:colOff>600120</xdr:colOff>
      <xdr:row>41</xdr:row>
      <xdr:rowOff>2880</xdr:rowOff>
    </xdr:from>
    <xdr:to>
      <xdr:col>13</xdr:col>
      <xdr:colOff>611280</xdr:colOff>
      <xdr:row>44</xdr:row>
      <xdr:rowOff>2520</xdr:rowOff>
    </xdr:to>
    <xdr:sp>
      <xdr:nvSpPr>
        <xdr:cNvPr id="10" name="Text Box 75"/>
        <xdr:cNvSpPr/>
      </xdr:nvSpPr>
      <xdr:spPr>
        <a:xfrm>
          <a:off x="6700680" y="6641640"/>
          <a:ext cx="2457000" cy="485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BETA calculation using Steinberg-Stein 1st order.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17</xdr:col>
      <xdr:colOff>485640</xdr:colOff>
      <xdr:row>44</xdr:row>
      <xdr:rowOff>78840</xdr:rowOff>
    </xdr:from>
    <xdr:to>
      <xdr:col>21</xdr:col>
      <xdr:colOff>447120</xdr:colOff>
      <xdr:row>47</xdr:row>
      <xdr:rowOff>93960</xdr:rowOff>
    </xdr:to>
    <xdr:sp>
      <xdr:nvSpPr>
        <xdr:cNvPr id="11" name="Text Box 77"/>
        <xdr:cNvSpPr/>
      </xdr:nvSpPr>
      <xdr:spPr>
        <a:xfrm>
          <a:off x="11478240" y="7203600"/>
          <a:ext cx="2407320" cy="500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R_T=R_N*(1±ThermTol)*EXP(</a:t>
          </a:r>
          <a:r>
            <a:rPr b="0" lang="el-GR" sz="1000" strike="noStrike" u="none">
              <a:solidFill>
                <a:srgbClr val="000000"/>
              </a:solidFill>
              <a:effectLst/>
              <a:uFillTx/>
              <a:latin typeface="Arial"/>
            </a:rPr>
            <a:t>β(1±</a:t>
          </a: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betaTol)*(T_N-T)/(T_N*T)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10</xdr:col>
      <xdr:colOff>0</xdr:colOff>
      <xdr:row>44</xdr:row>
      <xdr:rowOff>31320</xdr:rowOff>
    </xdr:from>
    <xdr:to>
      <xdr:col>14</xdr:col>
      <xdr:colOff>9000</xdr:colOff>
      <xdr:row>47</xdr:row>
      <xdr:rowOff>46440</xdr:rowOff>
    </xdr:to>
    <xdr:sp>
      <xdr:nvSpPr>
        <xdr:cNvPr id="12" name="Text Box 78"/>
        <xdr:cNvSpPr/>
      </xdr:nvSpPr>
      <xdr:spPr>
        <a:xfrm>
          <a:off x="6711840" y="7156080"/>
          <a:ext cx="2455200" cy="500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l-GR" sz="1000" strike="noStrike" u="none">
              <a:solidFill>
                <a:srgbClr val="000000"/>
              </a:solidFill>
              <a:effectLst/>
              <a:uFillTx/>
              <a:latin typeface="Arial"/>
            </a:rPr>
            <a:t>β=</a:t>
          </a: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T*T_0/(T_0-T)*ln(R_T/R_T0)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17</xdr:col>
      <xdr:colOff>466560</xdr:colOff>
      <xdr:row>41</xdr:row>
      <xdr:rowOff>2880</xdr:rowOff>
    </xdr:from>
    <xdr:to>
      <xdr:col>21</xdr:col>
      <xdr:colOff>447120</xdr:colOff>
      <xdr:row>44</xdr:row>
      <xdr:rowOff>2520</xdr:rowOff>
    </xdr:to>
    <xdr:sp>
      <xdr:nvSpPr>
        <xdr:cNvPr id="13" name="Text Box 79"/>
        <xdr:cNvSpPr/>
      </xdr:nvSpPr>
      <xdr:spPr>
        <a:xfrm>
          <a:off x="11459160" y="6641640"/>
          <a:ext cx="2426400" cy="485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Calculate true resistance value with temp drift tolerance and tolerance 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10</xdr:col>
      <xdr:colOff>600120</xdr:colOff>
      <xdr:row>44</xdr:row>
      <xdr:rowOff>31680</xdr:rowOff>
    </xdr:from>
    <xdr:to>
      <xdr:col>14</xdr:col>
      <xdr:colOff>561600</xdr:colOff>
      <xdr:row>47</xdr:row>
      <xdr:rowOff>40680</xdr:rowOff>
    </xdr:to>
    <xdr:sp>
      <xdr:nvSpPr>
        <xdr:cNvPr id="14" name="Text Box 1027"/>
        <xdr:cNvSpPr/>
      </xdr:nvSpPr>
      <xdr:spPr>
        <a:xfrm>
          <a:off x="6715080" y="7156440"/>
          <a:ext cx="2407680" cy="494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R_T=R_N*(1±Rtol)*(1±TempDrift(T-T_0))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10</xdr:col>
      <xdr:colOff>600120</xdr:colOff>
      <xdr:row>41</xdr:row>
      <xdr:rowOff>12600</xdr:rowOff>
    </xdr:from>
    <xdr:to>
      <xdr:col>14</xdr:col>
      <xdr:colOff>580680</xdr:colOff>
      <xdr:row>44</xdr:row>
      <xdr:rowOff>21600</xdr:rowOff>
    </xdr:to>
    <xdr:sp>
      <xdr:nvSpPr>
        <xdr:cNvPr id="15" name="Text Box 1028"/>
        <xdr:cNvSpPr/>
      </xdr:nvSpPr>
      <xdr:spPr>
        <a:xfrm>
          <a:off x="6715080" y="6651360"/>
          <a:ext cx="2426760" cy="49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Calculate true resistance value with temp drift tolerance and tolerance 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19</xdr:col>
      <xdr:colOff>28440</xdr:colOff>
      <xdr:row>44</xdr:row>
      <xdr:rowOff>69840</xdr:rowOff>
    </xdr:from>
    <xdr:to>
      <xdr:col>22</xdr:col>
      <xdr:colOff>599760</xdr:colOff>
      <xdr:row>47</xdr:row>
      <xdr:rowOff>78840</xdr:rowOff>
    </xdr:to>
    <xdr:sp>
      <xdr:nvSpPr>
        <xdr:cNvPr id="16" name="Text Box 1029"/>
        <xdr:cNvSpPr/>
      </xdr:nvSpPr>
      <xdr:spPr>
        <a:xfrm>
          <a:off x="11647080" y="7194600"/>
          <a:ext cx="2405880" cy="494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R_T=R_N*(1±Rtol)*(1±TempDrift(T-T_0))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19</xdr:col>
      <xdr:colOff>28440</xdr:colOff>
      <xdr:row>41</xdr:row>
      <xdr:rowOff>41400</xdr:rowOff>
    </xdr:from>
    <xdr:to>
      <xdr:col>23</xdr:col>
      <xdr:colOff>9000</xdr:colOff>
      <xdr:row>44</xdr:row>
      <xdr:rowOff>50400</xdr:rowOff>
    </xdr:to>
    <xdr:sp>
      <xdr:nvSpPr>
        <xdr:cNvPr id="17" name="Text Box 1030"/>
        <xdr:cNvSpPr/>
      </xdr:nvSpPr>
      <xdr:spPr>
        <a:xfrm>
          <a:off x="11647080" y="6680160"/>
          <a:ext cx="2426400" cy="49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Calculate true resistance value with temp drift tolerance and tolerance 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26</xdr:col>
      <xdr:colOff>257040</xdr:colOff>
      <xdr:row>45</xdr:row>
      <xdr:rowOff>108000</xdr:rowOff>
    </xdr:from>
    <xdr:to>
      <xdr:col>30</xdr:col>
      <xdr:colOff>66240</xdr:colOff>
      <xdr:row>48</xdr:row>
      <xdr:rowOff>79200</xdr:rowOff>
    </xdr:to>
    <xdr:sp>
      <xdr:nvSpPr>
        <xdr:cNvPr id="18" name="Text Box 1033"/>
        <xdr:cNvSpPr/>
      </xdr:nvSpPr>
      <xdr:spPr>
        <a:xfrm>
          <a:off x="16156080" y="7394760"/>
          <a:ext cx="2562480" cy="456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Vout/Vin=(RTH+RPAD)/(RTH+RPAD+T+THERM)</a:t>
          </a:r>
          <a:endParaRPr b="0" lang="et-EE" sz="10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7</xdr:col>
      <xdr:colOff>38160</xdr:colOff>
      <xdr:row>44</xdr:row>
      <xdr:rowOff>108000</xdr:rowOff>
    </xdr:from>
    <xdr:to>
      <xdr:col>9</xdr:col>
      <xdr:colOff>28440</xdr:colOff>
      <xdr:row>52</xdr:row>
      <xdr:rowOff>69480</xdr:rowOff>
    </xdr:to>
    <xdr:sp>
      <xdr:nvSpPr>
        <xdr:cNvPr id="19" name="Text Box 1034"/>
        <xdr:cNvSpPr/>
      </xdr:nvSpPr>
      <xdr:spPr>
        <a:xfrm>
          <a:off x="4318560" y="7232760"/>
          <a:ext cx="1213560" cy="1256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Simple linear temperature  derating . 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0</xdr:colOff>
      <xdr:row>41</xdr:row>
      <xdr:rowOff>12600</xdr:rowOff>
    </xdr:from>
    <xdr:to>
      <xdr:col>11</xdr:col>
      <xdr:colOff>580680</xdr:colOff>
      <xdr:row>45</xdr:row>
      <xdr:rowOff>12240</xdr:rowOff>
    </xdr:to>
    <xdr:sp>
      <xdr:nvSpPr>
        <xdr:cNvPr id="20" name="Text Box 1"/>
        <xdr:cNvSpPr/>
      </xdr:nvSpPr>
      <xdr:spPr>
        <a:xfrm>
          <a:off x="5503680" y="6651360"/>
          <a:ext cx="1803600" cy="64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Calculate effective resolution in AD count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13</xdr:col>
      <xdr:colOff>0</xdr:colOff>
      <xdr:row>41</xdr:row>
      <xdr:rowOff>12240</xdr:rowOff>
    </xdr:from>
    <xdr:to>
      <xdr:col>14</xdr:col>
      <xdr:colOff>809280</xdr:colOff>
      <xdr:row>48</xdr:row>
      <xdr:rowOff>145080</xdr:rowOff>
    </xdr:to>
    <xdr:sp>
      <xdr:nvSpPr>
        <xdr:cNvPr id="21" name="Text Box 2"/>
        <xdr:cNvSpPr/>
      </xdr:nvSpPr>
      <xdr:spPr>
        <a:xfrm>
          <a:off x="10725120" y="6651000"/>
          <a:ext cx="1464120" cy="12664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Use BETA to calculate RTHERM for T-0.1degC:</a:t>
          </a:r>
          <a:endParaRPr b="0" lang="et-EE" sz="10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R_T=R_T0*EXP((BETA(T0-T)/(T*T0)))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16</xdr:col>
      <xdr:colOff>9360</xdr:colOff>
      <xdr:row>41</xdr:row>
      <xdr:rowOff>12240</xdr:rowOff>
    </xdr:from>
    <xdr:to>
      <xdr:col>17</xdr:col>
      <xdr:colOff>218520</xdr:colOff>
      <xdr:row>48</xdr:row>
      <xdr:rowOff>145080</xdr:rowOff>
    </xdr:to>
    <xdr:sp>
      <xdr:nvSpPr>
        <xdr:cNvPr id="22" name="Text Box 3"/>
        <xdr:cNvSpPr/>
      </xdr:nvSpPr>
      <xdr:spPr>
        <a:xfrm>
          <a:off x="13047840" y="6651000"/>
          <a:ext cx="1095120" cy="12664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calculate minumum LSB for 0.1degC resolution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29</xdr:col>
      <xdr:colOff>0</xdr:colOff>
      <xdr:row>43</xdr:row>
      <xdr:rowOff>156600</xdr:rowOff>
    </xdr:from>
    <xdr:to>
      <xdr:col>33</xdr:col>
      <xdr:colOff>361440</xdr:colOff>
      <xdr:row>50</xdr:row>
      <xdr:rowOff>88200</xdr:rowOff>
    </xdr:to>
    <xdr:sp>
      <xdr:nvSpPr>
        <xdr:cNvPr id="23" name="Text Box 5"/>
        <xdr:cNvSpPr/>
      </xdr:nvSpPr>
      <xdr:spPr>
        <a:xfrm>
          <a:off x="24554160" y="7119360"/>
          <a:ext cx="3520080" cy="10652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polynomial regression 3rd order for B coeffictients</a:t>
          </a:r>
          <a:endParaRPr b="0" lang="et-EE" sz="10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b="0" lang="et-EE" sz="10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b3x^3 + b2x^2 + b1x + m = y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19</xdr:col>
      <xdr:colOff>9360</xdr:colOff>
      <xdr:row>44</xdr:row>
      <xdr:rowOff>2880</xdr:rowOff>
    </xdr:from>
    <xdr:to>
      <xdr:col>23</xdr:col>
      <xdr:colOff>828000</xdr:colOff>
      <xdr:row>51</xdr:row>
      <xdr:rowOff>135720</xdr:rowOff>
    </xdr:to>
    <xdr:sp>
      <xdr:nvSpPr>
        <xdr:cNvPr id="24" name="Text Box 6"/>
        <xdr:cNvSpPr/>
      </xdr:nvSpPr>
      <xdr:spPr>
        <a:xfrm>
          <a:off x="15705360" y="7127640"/>
          <a:ext cx="4361760" cy="1266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7360" rIns="0" tIns="23040" bIns="0" anchor="t" upright="1">
          <a:noAutofit/>
        </a:bodyPr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calculate polynomial regression 4th order</a:t>
          </a:r>
          <a:endParaRPr b="0" lang="et-EE" sz="10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b="0" lang="et-EE" sz="10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000" strike="noStrike" u="none">
              <a:solidFill>
                <a:srgbClr val="000000"/>
              </a:solidFill>
              <a:effectLst/>
              <a:uFillTx/>
              <a:latin typeface="Arial"/>
            </a:rPr>
            <a:t>A4x^4+A3*x^3+A2*x^2+A1*x+A0</a:t>
          </a:r>
          <a:endParaRPr b="0" lang="et-EE" sz="1000" strike="noStrike" u="non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AJ29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L64" activeCellId="0" sqref="L64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0" width="0.86"/>
    <col collapsed="false" customWidth="true" hidden="false" outlineLevel="0" max="2" min="2" style="0" width="10.85"/>
    <col collapsed="false" customWidth="true" hidden="false" outlineLevel="0" max="3" min="3" style="0" width="8.29"/>
    <col collapsed="false" customWidth="true" hidden="false" outlineLevel="0" max="4" min="4" style="0" width="11"/>
    <col collapsed="false" customWidth="true" hidden="false" outlineLevel="0" max="6" min="6" style="0" width="10.71"/>
    <col collapsed="false" customWidth="true" hidden="false" outlineLevel="0" max="7" min="7" style="0" width="9.71"/>
    <col collapsed="false" customWidth="true" hidden="false" outlineLevel="0" max="8" min="8" style="0" width="1.14"/>
    <col collapsed="false" customWidth="true" hidden="false" outlineLevel="0" max="20" min="20" style="0" width="9.29"/>
    <col collapsed="false" customWidth="true" hidden="false" outlineLevel="0" max="21" min="21" style="0" width="4.14"/>
    <col collapsed="false" customWidth="true" hidden="false" outlineLevel="0" max="22" min="22" style="0" width="3.86"/>
    <col collapsed="false" customWidth="true" hidden="false" outlineLevel="0" max="28" min="27" style="0" width="9.42"/>
    <col collapsed="false" customWidth="true" hidden="false" outlineLevel="0" max="31" min="31" style="0" width="9.57"/>
    <col collapsed="false" customWidth="true" hidden="false" outlineLevel="0" max="34" min="34" style="0" width="9.29"/>
  </cols>
  <sheetData>
    <row r="1" customFormat="false" ht="15" hidden="false" customHeight="true" outlineLevel="0" collapsed="false">
      <c r="B1" s="1" t="s">
        <v>0</v>
      </c>
      <c r="G1" s="0" t="s">
        <v>1</v>
      </c>
      <c r="L1" s="2" t="s">
        <v>2</v>
      </c>
      <c r="AA1" s="3"/>
      <c r="AB1" s="3"/>
      <c r="AC1" s="3"/>
      <c r="AD1" s="3"/>
      <c r="AE1" s="3"/>
      <c r="AF1" s="3"/>
      <c r="AG1" s="3"/>
      <c r="AH1" s="3"/>
      <c r="AI1" s="3"/>
      <c r="AJ1" s="3"/>
    </row>
    <row r="2" customFormat="false" ht="12.75" hidden="false" customHeight="false" outlineLevel="0" collapsed="false">
      <c r="B2" s="4" t="s">
        <v>3</v>
      </c>
      <c r="C2" s="5"/>
      <c r="D2" s="5"/>
      <c r="E2" s="5"/>
      <c r="F2" s="6" t="s">
        <v>4</v>
      </c>
      <c r="G2" s="7"/>
      <c r="AA2" s="3"/>
      <c r="AB2" s="3"/>
      <c r="AC2" s="3"/>
      <c r="AD2" s="3"/>
      <c r="AE2" s="3"/>
      <c r="AF2" s="3"/>
      <c r="AG2" s="3"/>
      <c r="AH2" s="8"/>
      <c r="AI2" s="3"/>
      <c r="AJ2" s="3"/>
    </row>
    <row r="3" customFormat="false" ht="12.75" hidden="false" customHeight="false" outlineLevel="0" collapsed="false">
      <c r="B3" s="9" t="s">
        <v>5</v>
      </c>
      <c r="C3" s="3"/>
      <c r="D3" s="10" t="n">
        <v>-40</v>
      </c>
      <c r="E3" s="3"/>
      <c r="F3" s="3" t="s">
        <v>6</v>
      </c>
      <c r="G3" s="11" t="s">
        <v>7</v>
      </c>
      <c r="AA3" s="3"/>
      <c r="AB3" s="3"/>
      <c r="AC3" s="3"/>
      <c r="AD3" s="3"/>
      <c r="AE3" s="3"/>
      <c r="AF3" s="3"/>
      <c r="AG3" s="3"/>
      <c r="AH3" s="8"/>
      <c r="AI3" s="3"/>
      <c r="AJ3" s="3"/>
    </row>
    <row r="4" customFormat="false" ht="12.75" hidden="false" customHeight="false" outlineLevel="0" collapsed="false">
      <c r="B4" s="9" t="s">
        <v>8</v>
      </c>
      <c r="C4" s="3"/>
      <c r="D4" s="10" t="n">
        <v>110</v>
      </c>
      <c r="E4" s="3"/>
      <c r="F4" s="12" t="n">
        <v>-40</v>
      </c>
      <c r="G4" s="10" t="n">
        <v>188500</v>
      </c>
      <c r="AA4" s="3"/>
      <c r="AB4" s="3"/>
      <c r="AC4" s="3"/>
      <c r="AD4" s="3"/>
      <c r="AE4" s="3"/>
      <c r="AF4" s="3"/>
      <c r="AG4" s="3"/>
      <c r="AH4" s="8"/>
      <c r="AI4" s="3"/>
      <c r="AJ4" s="3"/>
    </row>
    <row r="5" customFormat="false" ht="12.75" hidden="false" customHeight="false" outlineLevel="0" collapsed="false">
      <c r="B5" s="9"/>
      <c r="C5" s="3"/>
      <c r="D5" s="3"/>
      <c r="E5" s="3"/>
      <c r="F5" s="12" t="n">
        <v>-35</v>
      </c>
      <c r="G5" s="10" t="n">
        <v>144100</v>
      </c>
      <c r="AA5" s="3"/>
      <c r="AB5" s="3"/>
      <c r="AC5" s="3"/>
      <c r="AD5" s="3"/>
      <c r="AE5" s="3"/>
      <c r="AF5" s="3"/>
      <c r="AG5" s="3"/>
      <c r="AH5" s="8"/>
      <c r="AI5" s="3"/>
      <c r="AJ5" s="3"/>
    </row>
    <row r="6" customFormat="false" ht="12.75" hidden="false" customHeight="false" outlineLevel="0" collapsed="false">
      <c r="B6" s="13" t="s">
        <v>9</v>
      </c>
      <c r="C6" s="3"/>
      <c r="D6" s="3"/>
      <c r="E6" s="3"/>
      <c r="F6" s="12" t="n">
        <v>-30</v>
      </c>
      <c r="G6" s="10" t="n">
        <v>111300</v>
      </c>
      <c r="AA6" s="3"/>
      <c r="AB6" s="3"/>
      <c r="AC6" s="3"/>
      <c r="AD6" s="3"/>
      <c r="AE6" s="3"/>
      <c r="AF6" s="3"/>
      <c r="AG6" s="3"/>
      <c r="AH6" s="8"/>
      <c r="AI6" s="3"/>
      <c r="AJ6" s="3"/>
    </row>
    <row r="7" customFormat="false" ht="12.75" hidden="false" customHeight="false" outlineLevel="0" collapsed="false">
      <c r="B7" s="9" t="s">
        <v>10</v>
      </c>
      <c r="C7" s="3"/>
      <c r="D7" s="14" t="n">
        <v>0.01</v>
      </c>
      <c r="E7" s="3"/>
      <c r="F7" s="12" t="n">
        <v>-25</v>
      </c>
      <c r="G7" s="10" t="n">
        <v>86430</v>
      </c>
      <c r="AA7" s="3"/>
      <c r="AB7" s="3"/>
      <c r="AC7" s="3"/>
      <c r="AD7" s="3"/>
      <c r="AE7" s="3"/>
      <c r="AF7" s="3"/>
      <c r="AG7" s="3"/>
      <c r="AH7" s="8"/>
      <c r="AI7" s="3"/>
      <c r="AJ7" s="3"/>
    </row>
    <row r="8" customFormat="false" ht="12.75" hidden="false" customHeight="false" outlineLevel="0" collapsed="false">
      <c r="B8" s="9"/>
      <c r="C8" s="3"/>
      <c r="D8" s="3"/>
      <c r="E8" s="3"/>
      <c r="F8" s="12" t="n">
        <v>-20</v>
      </c>
      <c r="G8" s="10" t="n">
        <v>67770</v>
      </c>
      <c r="AA8" s="3"/>
      <c r="AB8" s="3"/>
      <c r="AC8" s="3"/>
      <c r="AD8" s="3"/>
      <c r="AE8" s="3"/>
      <c r="AF8" s="3"/>
      <c r="AG8" s="3"/>
      <c r="AH8" s="8"/>
      <c r="AI8" s="3"/>
      <c r="AJ8" s="3"/>
    </row>
    <row r="9" customFormat="false" ht="12.75" hidden="false" customHeight="false" outlineLevel="0" collapsed="false">
      <c r="B9" s="9" t="s">
        <v>11</v>
      </c>
      <c r="C9" s="3"/>
      <c r="D9" s="14" t="n">
        <v>0.01</v>
      </c>
      <c r="E9" s="3"/>
      <c r="F9" s="12" t="n">
        <v>-15</v>
      </c>
      <c r="G9" s="10" t="n">
        <v>53410</v>
      </c>
      <c r="AA9" s="3"/>
      <c r="AB9" s="3"/>
      <c r="AC9" s="3"/>
      <c r="AD9" s="3"/>
      <c r="AE9" s="3"/>
      <c r="AF9" s="3"/>
      <c r="AG9" s="3"/>
      <c r="AH9" s="8"/>
      <c r="AI9" s="3"/>
      <c r="AJ9" s="3"/>
    </row>
    <row r="10" customFormat="false" ht="12.75" hidden="false" customHeight="false" outlineLevel="0" collapsed="false">
      <c r="B10" s="9"/>
      <c r="C10" s="3"/>
      <c r="D10" s="3"/>
      <c r="E10" s="3"/>
      <c r="F10" s="12" t="n">
        <v>-10</v>
      </c>
      <c r="G10" s="10" t="n">
        <v>42470</v>
      </c>
      <c r="AA10" s="3"/>
      <c r="AB10" s="3"/>
      <c r="AC10" s="3"/>
      <c r="AD10" s="3"/>
      <c r="AE10" s="3"/>
      <c r="AF10" s="3"/>
      <c r="AG10" s="3"/>
      <c r="AH10" s="8"/>
      <c r="AI10" s="3"/>
      <c r="AJ10" s="3"/>
    </row>
    <row r="11" customFormat="false" ht="12.75" hidden="false" customHeight="false" outlineLevel="0" collapsed="false">
      <c r="B11" s="13" t="s">
        <v>12</v>
      </c>
      <c r="C11" s="3"/>
      <c r="D11" s="3"/>
      <c r="E11" s="3"/>
      <c r="F11" s="12" t="n">
        <v>-5</v>
      </c>
      <c r="G11" s="10" t="n">
        <v>33900</v>
      </c>
      <c r="AA11" s="3"/>
      <c r="AB11" s="3"/>
      <c r="AC11" s="3"/>
      <c r="AD11" s="3"/>
      <c r="AE11" s="3"/>
      <c r="AF11" s="3"/>
      <c r="AG11" s="3"/>
      <c r="AH11" s="8"/>
      <c r="AI11" s="3"/>
      <c r="AJ11" s="3"/>
    </row>
    <row r="12" customFormat="false" ht="12.75" hidden="false" customHeight="false" outlineLevel="0" collapsed="false">
      <c r="B12" s="9" t="s">
        <v>13</v>
      </c>
      <c r="C12" s="3"/>
      <c r="D12" s="15" t="n">
        <v>18000</v>
      </c>
      <c r="E12" s="3"/>
      <c r="F12" s="12" t="n">
        <v>0</v>
      </c>
      <c r="G12" s="10" t="n">
        <v>27280</v>
      </c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customFormat="false" ht="12.75" hidden="false" customHeight="false" outlineLevel="0" collapsed="false">
      <c r="B13" s="9"/>
      <c r="C13" s="3"/>
      <c r="D13" s="3"/>
      <c r="E13" s="3"/>
      <c r="F13" s="12" t="n">
        <v>5</v>
      </c>
      <c r="G13" s="10" t="n">
        <v>22050</v>
      </c>
      <c r="Z13" s="3"/>
      <c r="AA13" s="3"/>
      <c r="AB13" s="3"/>
      <c r="AC13" s="3"/>
      <c r="AD13" s="3"/>
    </row>
    <row r="14" customFormat="false" ht="12.75" hidden="false" customHeight="false" outlineLevel="0" collapsed="false">
      <c r="B14" s="9" t="s">
        <v>10</v>
      </c>
      <c r="C14" s="3"/>
      <c r="D14" s="16" t="n">
        <v>0.01</v>
      </c>
      <c r="E14" s="3"/>
      <c r="F14" s="12" t="n">
        <v>10</v>
      </c>
      <c r="G14" s="10" t="n">
        <v>17960</v>
      </c>
      <c r="Z14" s="3"/>
      <c r="AA14" s="3"/>
      <c r="AB14" s="3"/>
      <c r="AC14" s="3"/>
      <c r="AD14" s="3"/>
    </row>
    <row r="15" customFormat="false" ht="12.75" hidden="false" customHeight="false" outlineLevel="0" collapsed="false">
      <c r="B15" s="9"/>
      <c r="C15" s="3"/>
      <c r="D15" s="3"/>
      <c r="E15" s="3"/>
      <c r="F15" s="12" t="n">
        <v>15</v>
      </c>
      <c r="G15" s="10" t="n">
        <v>14690</v>
      </c>
      <c r="Z15" s="3"/>
      <c r="AA15" s="3"/>
      <c r="AB15" s="3"/>
      <c r="AC15" s="3"/>
      <c r="AD15" s="3"/>
    </row>
    <row r="16" customFormat="false" ht="12.75" hidden="false" customHeight="false" outlineLevel="0" collapsed="false">
      <c r="B16" s="9" t="s">
        <v>14</v>
      </c>
      <c r="C16" s="3"/>
      <c r="D16" s="16" t="n">
        <v>0</v>
      </c>
      <c r="E16" s="3"/>
      <c r="F16" s="12" t="n">
        <v>20</v>
      </c>
      <c r="G16" s="10" t="n">
        <v>12090</v>
      </c>
      <c r="Z16" s="3"/>
      <c r="AA16" s="3"/>
      <c r="AB16" s="3"/>
      <c r="AC16" s="3"/>
      <c r="AD16" s="3"/>
    </row>
    <row r="17" customFormat="false" ht="12.75" hidden="false" customHeight="false" outlineLevel="0" collapsed="false">
      <c r="B17" s="9"/>
      <c r="C17" s="3"/>
      <c r="D17" s="3"/>
      <c r="E17" s="3"/>
      <c r="F17" s="12" t="n">
        <v>25</v>
      </c>
      <c r="G17" s="10" t="n">
        <v>10000</v>
      </c>
      <c r="Z17" s="3"/>
      <c r="AA17" s="3"/>
      <c r="AB17" s="3"/>
      <c r="AC17" s="3"/>
      <c r="AD17" s="3"/>
    </row>
    <row r="18" customFormat="false" ht="12.75" hidden="false" customHeight="false" outlineLevel="0" collapsed="false">
      <c r="B18" s="13" t="s">
        <v>15</v>
      </c>
      <c r="C18" s="3"/>
      <c r="D18" s="3"/>
      <c r="E18" s="3"/>
      <c r="F18" s="12" t="n">
        <v>30</v>
      </c>
      <c r="G18" s="10" t="n">
        <v>8313</v>
      </c>
      <c r="Z18" s="3"/>
      <c r="AA18" s="3"/>
      <c r="AB18" s="3"/>
      <c r="AC18" s="3"/>
      <c r="AD18" s="3"/>
    </row>
    <row r="19" customFormat="false" ht="12.75" hidden="false" customHeight="false" outlineLevel="0" collapsed="false">
      <c r="B19" s="9" t="s">
        <v>13</v>
      </c>
      <c r="C19" s="3"/>
      <c r="D19" s="17" t="n">
        <v>0</v>
      </c>
      <c r="E19" s="3"/>
      <c r="F19" s="12" t="n">
        <v>35</v>
      </c>
      <c r="G19" s="10" t="n">
        <v>6940</v>
      </c>
      <c r="Z19" s="3"/>
      <c r="AA19" s="3"/>
      <c r="AB19" s="3"/>
      <c r="AC19" s="3"/>
      <c r="AD19" s="3"/>
    </row>
    <row r="20" customFormat="false" ht="12.75" hidden="false" customHeight="false" outlineLevel="0" collapsed="false">
      <c r="B20" s="9"/>
      <c r="C20" s="3"/>
      <c r="D20" s="3"/>
      <c r="E20" s="3"/>
      <c r="F20" s="12" t="n">
        <v>40</v>
      </c>
      <c r="G20" s="10" t="n">
        <v>5827</v>
      </c>
      <c r="Z20" s="3"/>
      <c r="AA20" s="3"/>
      <c r="AB20" s="3"/>
      <c r="AC20" s="3"/>
      <c r="AD20" s="3"/>
    </row>
    <row r="21" customFormat="false" ht="12.75" hidden="false" customHeight="false" outlineLevel="0" collapsed="false">
      <c r="B21" s="9" t="s">
        <v>10</v>
      </c>
      <c r="C21" s="3"/>
      <c r="D21" s="16" t="n">
        <v>0.01</v>
      </c>
      <c r="E21" s="3"/>
      <c r="F21" s="12" t="n">
        <v>45</v>
      </c>
      <c r="G21" s="10" t="n">
        <v>4911</v>
      </c>
      <c r="Z21" s="3"/>
      <c r="AA21" s="3"/>
      <c r="AB21" s="3"/>
      <c r="AC21" s="3"/>
      <c r="AD21" s="3"/>
    </row>
    <row r="22" customFormat="false" ht="12.75" hidden="false" customHeight="false" outlineLevel="0" collapsed="false">
      <c r="B22" s="9"/>
      <c r="C22" s="3"/>
      <c r="D22" s="18"/>
      <c r="E22" s="3"/>
      <c r="F22" s="12" t="n">
        <v>50</v>
      </c>
      <c r="G22" s="10" t="n">
        <v>4160</v>
      </c>
      <c r="Z22" s="3"/>
      <c r="AA22" s="3"/>
      <c r="AB22" s="3"/>
      <c r="AC22" s="3"/>
      <c r="AD22" s="3"/>
    </row>
    <row r="23" customFormat="false" ht="12.75" hidden="false" customHeight="false" outlineLevel="0" collapsed="false">
      <c r="B23" s="9" t="s">
        <v>14</v>
      </c>
      <c r="C23" s="3"/>
      <c r="D23" s="16" t="n">
        <v>0.002</v>
      </c>
      <c r="E23" s="3"/>
      <c r="F23" s="12" t="n">
        <v>55</v>
      </c>
      <c r="G23" s="10" t="n">
        <v>3536</v>
      </c>
      <c r="Z23" s="3"/>
      <c r="AA23" s="3"/>
      <c r="AB23" s="3"/>
      <c r="AC23" s="3"/>
      <c r="AD23" s="3"/>
    </row>
    <row r="24" customFormat="false" ht="12.75" hidden="false" customHeight="false" outlineLevel="0" collapsed="false">
      <c r="B24" s="9"/>
      <c r="C24" s="3"/>
      <c r="D24" s="3"/>
      <c r="E24" s="3"/>
      <c r="F24" s="12" t="n">
        <v>60</v>
      </c>
      <c r="G24" s="10" t="n">
        <v>3020</v>
      </c>
      <c r="Z24" s="3"/>
      <c r="AA24" s="3"/>
      <c r="AB24" s="3"/>
      <c r="AC24" s="3"/>
      <c r="AD24" s="3"/>
    </row>
    <row r="25" customFormat="false" ht="12.75" hidden="false" customHeight="false" outlineLevel="0" collapsed="false">
      <c r="B25" s="13" t="s">
        <v>16</v>
      </c>
      <c r="C25" s="3"/>
      <c r="D25" s="3"/>
      <c r="E25" s="3"/>
      <c r="F25" s="12" t="n">
        <v>65</v>
      </c>
      <c r="G25" s="10" t="n">
        <v>2588</v>
      </c>
      <c r="Z25" s="3"/>
      <c r="AA25" s="3"/>
      <c r="AB25" s="3"/>
      <c r="AC25" s="3"/>
      <c r="AD25" s="3"/>
    </row>
    <row r="26" customFormat="false" ht="12.75" hidden="false" customHeight="false" outlineLevel="0" collapsed="false">
      <c r="B26" s="9" t="s">
        <v>17</v>
      </c>
      <c r="C26" s="3"/>
      <c r="D26" s="10" t="n">
        <v>25</v>
      </c>
      <c r="E26" s="3"/>
      <c r="F26" s="12" t="n">
        <v>70</v>
      </c>
      <c r="G26" s="10" t="n">
        <v>2228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customFormat="false" ht="12.75" hidden="false" customHeight="false" outlineLevel="0" collapsed="false">
      <c r="B27" s="9"/>
      <c r="C27" s="3"/>
      <c r="D27" s="3"/>
      <c r="E27" s="3"/>
      <c r="F27" s="12" t="n">
        <v>75</v>
      </c>
      <c r="G27" s="10" t="n">
        <v>1924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customFormat="false" ht="12.75" hidden="false" customHeight="false" outlineLevel="0" collapsed="false">
      <c r="B28" s="9"/>
      <c r="C28" s="3"/>
      <c r="D28" s="3"/>
      <c r="E28" s="3"/>
      <c r="F28" s="12" t="n">
        <v>80</v>
      </c>
      <c r="G28" s="10" t="n">
        <v>1668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customFormat="false" ht="12.75" hidden="false" customHeight="false" outlineLevel="0" collapsed="false">
      <c r="B29" s="13" t="s">
        <v>18</v>
      </c>
      <c r="C29" s="19"/>
      <c r="D29" s="19" t="s">
        <v>19</v>
      </c>
      <c r="E29" s="3"/>
      <c r="F29" s="12" t="n">
        <v>85</v>
      </c>
      <c r="G29" s="10" t="n">
        <v>1451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customFormat="false" ht="12.75" hidden="false" customHeight="false" outlineLevel="0" collapsed="false">
      <c r="B30" s="20" t="s">
        <v>20</v>
      </c>
      <c r="C30" s="21" t="n">
        <f aca="false">Digital!R42</f>
        <v>-16011</v>
      </c>
      <c r="D30" s="22" t="s">
        <v>21</v>
      </c>
      <c r="E30" s="23" t="n">
        <f aca="false">Digital!Z43</f>
        <v>42</v>
      </c>
      <c r="F30" s="24" t="n">
        <v>90</v>
      </c>
      <c r="G30" s="10" t="n">
        <v>1266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customFormat="false" ht="12.75" hidden="false" customHeight="false" outlineLevel="0" collapsed="false">
      <c r="B31" s="25" t="s">
        <v>22</v>
      </c>
      <c r="C31" s="26" t="n">
        <f aca="false">Digital!R43</f>
        <v>27432</v>
      </c>
      <c r="D31" s="27" t="s">
        <v>23</v>
      </c>
      <c r="E31" s="28" t="n">
        <f aca="false">Digital!Z44</f>
        <v>-78</v>
      </c>
      <c r="F31" s="24" t="n">
        <v>95</v>
      </c>
      <c r="G31" s="10" t="n">
        <v>1108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customFormat="false" ht="12.75" hidden="false" customHeight="false" outlineLevel="0" collapsed="false">
      <c r="B32" s="25" t="s">
        <v>24</v>
      </c>
      <c r="C32" s="26" t="n">
        <f aca="false">Digital!R44</f>
        <v>-23370</v>
      </c>
      <c r="D32" s="29" t="s">
        <v>25</v>
      </c>
      <c r="E32" s="28" t="n">
        <f aca="false">Digital!Z45</f>
        <v>-3014</v>
      </c>
      <c r="F32" s="24" t="n">
        <v>100</v>
      </c>
      <c r="G32" s="10" t="n">
        <v>973.1</v>
      </c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customFormat="false" ht="12.75" hidden="false" customHeight="false" outlineLevel="0" collapsed="false">
      <c r="B33" s="25" t="s">
        <v>26</v>
      </c>
      <c r="C33" s="26" t="n">
        <f aca="false">Digital!R45</f>
        <v>29022</v>
      </c>
      <c r="D33" s="29" t="s">
        <v>27</v>
      </c>
      <c r="E33" s="28" t="n">
        <f aca="false">Digital!Z46</f>
        <v>4955</v>
      </c>
      <c r="F33" s="24" t="n">
        <v>105</v>
      </c>
      <c r="G33" s="10" t="n">
        <v>857.2</v>
      </c>
      <c r="J33" s="0" t="s">
        <v>28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customFormat="false" ht="13.5" hidden="false" customHeight="true" outlineLevel="0" collapsed="false">
      <c r="B34" s="30" t="s">
        <v>29</v>
      </c>
      <c r="C34" s="31" t="n">
        <f aca="false">Digital!R46</f>
        <v>658</v>
      </c>
      <c r="D34" s="32"/>
      <c r="E34" s="33"/>
      <c r="F34" s="24" t="n">
        <v>110</v>
      </c>
      <c r="G34" s="10" t="n">
        <v>757.6</v>
      </c>
      <c r="I34" s="34" t="s">
        <v>30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customFormat="false" ht="12.75" hidden="false" customHeight="false" outlineLevel="0" collapsed="false">
      <c r="B35" s="9"/>
      <c r="C35" s="35"/>
      <c r="D35" s="3"/>
      <c r="E35" s="3"/>
      <c r="F35" s="29" t="n">
        <v>115</v>
      </c>
      <c r="G35" s="36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customFormat="false" ht="12.75" hidden="false" customHeight="false" outlineLevel="0" collapsed="false">
      <c r="B36" s="9"/>
      <c r="C36" s="35" t="s">
        <v>31</v>
      </c>
      <c r="D36" s="3" t="n">
        <v>11703</v>
      </c>
      <c r="E36" s="3"/>
      <c r="F36" s="35"/>
      <c r="G36" s="37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customFormat="false" ht="12.75" hidden="false" customHeight="false" outlineLevel="0" collapsed="false">
      <c r="B37" s="9"/>
      <c r="C37" s="35" t="s">
        <v>32</v>
      </c>
      <c r="D37" s="3" t="n">
        <v>11703</v>
      </c>
      <c r="E37" s="3"/>
      <c r="F37" s="35"/>
      <c r="G37" s="37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customFormat="false" ht="12.75" hidden="false" customHeight="false" outlineLevel="0" collapsed="false">
      <c r="B38" s="9"/>
      <c r="C38" s="35"/>
      <c r="D38" s="3"/>
      <c r="E38" s="3"/>
      <c r="F38" s="35"/>
      <c r="G38" s="37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customFormat="false" ht="12.75" hidden="false" customHeight="false" outlineLevel="0" collapsed="false">
      <c r="B39" s="9"/>
      <c r="C39" s="35"/>
      <c r="D39" s="3"/>
      <c r="E39" s="3"/>
      <c r="F39" s="35"/>
      <c r="G39" s="37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customFormat="false" ht="12.75" hidden="false" customHeight="false" outlineLevel="0" collapsed="false">
      <c r="B40" s="38"/>
      <c r="C40" s="39"/>
      <c r="D40" s="39"/>
      <c r="E40" s="39"/>
      <c r="F40" s="39"/>
      <c r="G40" s="40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customFormat="false" ht="15" hidden="false" customHeight="false" outlineLevel="0" collapsed="false">
      <c r="J41" s="41" t="s">
        <v>33</v>
      </c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customFormat="false" ht="15" hidden="false" customHeight="false" outlineLevel="0" collapsed="false">
      <c r="J42" s="42" t="s">
        <v>34</v>
      </c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customFormat="false" ht="15" hidden="false" customHeight="false" outlineLevel="0" collapsed="false">
      <c r="A43" s="3"/>
      <c r="B43" s="19"/>
      <c r="C43" s="3"/>
      <c r="D43" s="3"/>
      <c r="E43" s="3"/>
      <c r="J43" s="42" t="s">
        <v>35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customFormat="false" ht="15" hidden="false" customHeight="false" outlineLevel="0" collapsed="false">
      <c r="A44" s="3"/>
      <c r="B44" s="3"/>
      <c r="C44" s="3"/>
      <c r="D44" s="3"/>
      <c r="E44" s="3"/>
      <c r="J44" s="42" t="s">
        <v>36</v>
      </c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customFormat="false" ht="15" hidden="false" customHeight="false" outlineLevel="0" collapsed="false">
      <c r="A45" s="3"/>
      <c r="B45" s="19"/>
      <c r="C45" s="3"/>
      <c r="D45" s="3"/>
      <c r="E45" s="3"/>
      <c r="J45" s="42" t="s">
        <v>37</v>
      </c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customFormat="false" ht="15" hidden="false" customHeight="false" outlineLevel="0" collapsed="false">
      <c r="A46" s="3"/>
      <c r="B46" s="3"/>
      <c r="C46" s="3"/>
      <c r="D46" s="3"/>
      <c r="E46" s="3"/>
      <c r="J46" s="42" t="s">
        <v>38</v>
      </c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customFormat="false" ht="15" hidden="false" customHeight="false" outlineLevel="0" collapsed="false">
      <c r="A47" s="3"/>
      <c r="B47" s="43"/>
      <c r="C47" s="43"/>
      <c r="D47" s="35"/>
      <c r="E47" s="3"/>
      <c r="J47" s="42" t="s">
        <v>39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customFormat="false" ht="12.75" hidden="false" customHeight="false" outlineLevel="0" collapsed="false">
      <c r="A48" s="3"/>
      <c r="B48" s="43"/>
      <c r="C48" s="43"/>
      <c r="D48" s="35"/>
      <c r="E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customFormat="false" ht="12.75" hidden="false" customHeight="false" outlineLevel="0" collapsed="false">
      <c r="A49" s="3"/>
      <c r="B49" s="43"/>
      <c r="C49" s="43"/>
      <c r="D49" s="35"/>
      <c r="E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customFormat="false" ht="12.75" hidden="false" customHeight="false" outlineLevel="0" collapsed="false">
      <c r="A50" s="3"/>
      <c r="B50" s="43"/>
      <c r="C50" s="43"/>
      <c r="D50" s="35"/>
      <c r="E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customFormat="false" ht="12.75" hidden="false" customHeight="false" outlineLevel="0" collapsed="false">
      <c r="A51" s="3"/>
      <c r="B51" s="43"/>
      <c r="C51" s="43"/>
      <c r="D51" s="35"/>
      <c r="E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customFormat="false" ht="12.75" hidden="false" customHeight="false" outlineLevel="0" collapsed="false">
      <c r="A52" s="3"/>
      <c r="B52" s="43"/>
      <c r="C52" s="43"/>
      <c r="D52" s="35"/>
      <c r="E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customFormat="false" ht="12.75" hidden="false" customHeight="false" outlineLevel="0" collapsed="false">
      <c r="A53" s="3"/>
      <c r="B53" s="43"/>
      <c r="C53" s="43"/>
      <c r="D53" s="44"/>
      <c r="E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customFormat="false" ht="12.75" hidden="false" customHeight="false" outlineLevel="0" collapsed="false">
      <c r="A54" s="3"/>
      <c r="B54" s="3"/>
      <c r="C54" s="3"/>
      <c r="D54" s="3"/>
      <c r="E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customFormat="false" ht="12.75" hidden="false" customHeight="false" outlineLevel="0" collapsed="false"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customFormat="false" ht="12.75" hidden="false" customHeight="false" outlineLevel="0" collapsed="false"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customFormat="false" ht="12.75" hidden="false" customHeight="false" outlineLevel="0" collapsed="false"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customFormat="false" ht="12.75" hidden="false" customHeight="false" outlineLevel="0" collapsed="false"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customFormat="false" ht="12.75" hidden="false" customHeight="false" outlineLevel="0" collapsed="false"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customFormat="false" ht="12.75" hidden="false" customHeight="false" outlineLevel="0" collapsed="false"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customFormat="false" ht="12.75" hidden="false" customHeight="false" outlineLevel="0" collapsed="false"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customFormat="false" ht="12.75" hidden="false" customHeight="false" outlineLevel="0" collapsed="false"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customFormat="false" ht="12.75" hidden="false" customHeight="false" outlineLevel="0" collapsed="false"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customFormat="false" ht="12.75" hidden="false" customHeight="false" outlineLevel="0" collapsed="false"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customFormat="false" ht="12.75" hidden="false" customHeight="false" outlineLevel="0" collapsed="false"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customFormat="false" ht="12.75" hidden="false" customHeight="false" outlineLevel="0" collapsed="false"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customFormat="false" ht="12.75" hidden="false" customHeight="false" outlineLevel="0" collapsed="false"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customFormat="false" ht="12.75" hidden="false" customHeight="false" outlineLevel="0" collapsed="false"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customFormat="false" ht="12.75" hidden="false" customHeight="false" outlineLevel="0" collapsed="false"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customFormat="false" ht="12.75" hidden="false" customHeight="false" outlineLevel="0" collapsed="false"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customFormat="false" ht="12.75" hidden="false" customHeight="false" outlineLevel="0" collapsed="false"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customFormat="false" ht="12.75" hidden="false" customHeight="false" outlineLevel="0" collapsed="false"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customFormat="false" ht="12.75" hidden="false" customHeight="false" outlineLevel="0" collapsed="false"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customFormat="false" ht="12.75" hidden="false" customHeight="false" outlineLevel="0" collapsed="false"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customFormat="false" ht="12.75" hidden="false" customHeight="false" outlineLevel="0" collapsed="false"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customFormat="false" ht="12.75" hidden="false" customHeight="false" outlineLevel="0" collapsed="false"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customFormat="false" ht="12.75" hidden="false" customHeight="false" outlineLevel="0" collapsed="false"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customFormat="false" ht="12.75" hidden="false" customHeight="false" outlineLevel="0" collapsed="false"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customFormat="false" ht="12.75" hidden="false" customHeight="false" outlineLevel="0" collapsed="false"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customFormat="false" ht="12.75" hidden="false" customHeight="false" outlineLevel="0" collapsed="false"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customFormat="false" ht="12.75" hidden="false" customHeight="false" outlineLevel="0" collapsed="false"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customFormat="false" ht="12.75" hidden="false" customHeight="false" outlineLevel="0" collapsed="false"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customFormat="false" ht="12.75" hidden="false" customHeight="false" outlineLevel="0" collapsed="false"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customFormat="false" ht="12.75" hidden="false" customHeight="false" outlineLevel="0" collapsed="false"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customFormat="false" ht="12.75" hidden="false" customHeight="false" outlineLevel="0" collapsed="false"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customFormat="false" ht="12.75" hidden="false" customHeight="false" outlineLevel="0" collapsed="false"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customFormat="false" ht="12.75" hidden="false" customHeight="false" outlineLevel="0" collapsed="false"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customFormat="false" ht="12.75" hidden="false" customHeight="false" outlineLevel="0" collapsed="false"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customFormat="false" ht="12.75" hidden="false" customHeight="false" outlineLevel="0" collapsed="false"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customFormat="false" ht="12.75" hidden="false" customHeight="false" outlineLevel="0" collapsed="false"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customFormat="false" ht="12.75" hidden="false" customHeight="false" outlineLevel="0" collapsed="false"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customFormat="false" ht="12.75" hidden="false" customHeight="false" outlineLevel="0" collapsed="false"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customFormat="false" ht="12.75" hidden="false" customHeight="false" outlineLevel="0" collapsed="false"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customFormat="false" ht="12.75" hidden="false" customHeight="false" outlineLevel="0" collapsed="false"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customFormat="false" ht="12.75" hidden="false" customHeight="false" outlineLevel="0" collapsed="false"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customFormat="false" ht="12.75" hidden="false" customHeight="false" outlineLevel="0" collapsed="false"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customFormat="false" ht="12.75" hidden="false" customHeight="false" outlineLevel="0" collapsed="false"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customFormat="false" ht="12.75" hidden="false" customHeight="false" outlineLevel="0" collapsed="false"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customFormat="false" ht="12.75" hidden="false" customHeight="false" outlineLevel="0" collapsed="false"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customFormat="false" ht="12.75" hidden="false" customHeight="false" outlineLevel="0" collapsed="false"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customFormat="false" ht="12.75" hidden="false" customHeight="false" outlineLevel="0" collapsed="false"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customFormat="false" ht="12.75" hidden="false" customHeight="false" outlineLevel="0" collapsed="false"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customFormat="false" ht="12.75" hidden="false" customHeight="false" outlineLevel="0" collapsed="false"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customFormat="false" ht="12.75" hidden="false" customHeight="false" outlineLevel="0" collapsed="false"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customFormat="false" ht="12.75" hidden="false" customHeight="false" outlineLevel="0" collapsed="false"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customFormat="false" ht="12.75" hidden="false" customHeight="false" outlineLevel="0" collapsed="false"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customFormat="false" ht="12.75" hidden="false" customHeight="false" outlineLevel="0" collapsed="false"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customFormat="false" ht="12.75" hidden="false" customHeight="false" outlineLevel="0" collapsed="false"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customFormat="false" ht="12.75" hidden="false" customHeight="false" outlineLevel="0" collapsed="false"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customFormat="false" ht="12.75" hidden="false" customHeight="false" outlineLevel="0" collapsed="false"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customFormat="false" ht="12.75" hidden="false" customHeight="false" outlineLevel="0" collapsed="false"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customFormat="false" ht="12.75" hidden="false" customHeight="false" outlineLevel="0" collapsed="false"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customFormat="false" ht="12.75" hidden="false" customHeight="false" outlineLevel="0" collapsed="false"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customFormat="false" ht="12.75" hidden="false" customHeight="false" outlineLevel="0" collapsed="false"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customFormat="false" ht="12.75" hidden="false" customHeight="false" outlineLevel="0" collapsed="false"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customFormat="false" ht="12.75" hidden="false" customHeight="false" outlineLevel="0" collapsed="false"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customFormat="false" ht="12.75" hidden="false" customHeight="false" outlineLevel="0" collapsed="false"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customFormat="false" ht="12.75" hidden="false" customHeight="false" outlineLevel="0" collapsed="false"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customFormat="false" ht="12.75" hidden="false" customHeight="false" outlineLevel="0" collapsed="false"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customFormat="false" ht="12.75" hidden="false" customHeight="false" outlineLevel="0" collapsed="false"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customFormat="false" ht="12.75" hidden="false" customHeight="false" outlineLevel="0" collapsed="false"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customFormat="false" ht="12.75" hidden="false" customHeight="false" outlineLevel="0" collapsed="false"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customFormat="false" ht="12.75" hidden="false" customHeight="false" outlineLevel="0" collapsed="false"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customFormat="false" ht="12.75" hidden="false" customHeight="false" outlineLevel="0" collapsed="false"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customFormat="false" ht="12.75" hidden="false" customHeight="false" outlineLevel="0" collapsed="false"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customFormat="false" ht="12.75" hidden="false" customHeight="false" outlineLevel="0" collapsed="false"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customFormat="false" ht="12.75" hidden="false" customHeight="false" outlineLevel="0" collapsed="false"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customFormat="false" ht="12.75" hidden="false" customHeight="false" outlineLevel="0" collapsed="false"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customFormat="false" ht="12.75" hidden="false" customHeight="false" outlineLevel="0" collapsed="false"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customFormat="false" ht="12.75" hidden="false" customHeight="false" outlineLevel="0" collapsed="false"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customFormat="false" ht="12.75" hidden="false" customHeight="false" outlineLevel="0" collapsed="false"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customFormat="false" ht="12.75" hidden="false" customHeight="false" outlineLevel="0" collapsed="false"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customFormat="false" ht="12.75" hidden="false" customHeight="false" outlineLevel="0" collapsed="false"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customFormat="false" ht="12.75" hidden="false" customHeight="false" outlineLevel="0" collapsed="false"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customFormat="false" ht="12.75" hidden="false" customHeight="false" outlineLevel="0" collapsed="false"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customFormat="false" ht="12.75" hidden="false" customHeight="false" outlineLevel="0" collapsed="false"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customFormat="false" ht="12.75" hidden="false" customHeight="false" outlineLevel="0" collapsed="false"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customFormat="false" ht="12.75" hidden="false" customHeight="false" outlineLevel="0" collapsed="false"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customFormat="false" ht="12.75" hidden="false" customHeight="false" outlineLevel="0" collapsed="false"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customFormat="false" ht="12.75" hidden="false" customHeight="false" outlineLevel="0" collapsed="false"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customFormat="false" ht="12.75" hidden="false" customHeight="false" outlineLevel="0" collapsed="false"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customFormat="false" ht="12.75" hidden="false" customHeight="false" outlineLevel="0" collapsed="false"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customFormat="false" ht="12.75" hidden="false" customHeight="false" outlineLevel="0" collapsed="false"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customFormat="false" ht="12.75" hidden="false" customHeight="false" outlineLevel="0" collapsed="false"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customFormat="false" ht="12.75" hidden="false" customHeight="false" outlineLevel="0" collapsed="false"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customFormat="false" ht="12.75" hidden="false" customHeight="false" outlineLevel="0" collapsed="false"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customFormat="false" ht="12.75" hidden="false" customHeight="false" outlineLevel="0" collapsed="false"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customFormat="false" ht="12.75" hidden="false" customHeight="false" outlineLevel="0" collapsed="false"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customFormat="false" ht="12.75" hidden="false" customHeight="false" outlineLevel="0" collapsed="false"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customFormat="false" ht="12.75" hidden="false" customHeight="false" outlineLevel="0" collapsed="false"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customFormat="false" ht="12.75" hidden="false" customHeight="false" outlineLevel="0" collapsed="false"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customFormat="false" ht="12.75" hidden="false" customHeight="false" outlineLevel="0" collapsed="false"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customFormat="false" ht="12.75" hidden="false" customHeight="false" outlineLevel="0" collapsed="false"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customFormat="false" ht="12.75" hidden="false" customHeight="false" outlineLevel="0" collapsed="false"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customFormat="false" ht="12.75" hidden="false" customHeight="false" outlineLevel="0" collapsed="false"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customFormat="false" ht="12.75" hidden="false" customHeight="false" outlineLevel="0" collapsed="false"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customFormat="false" ht="12.75" hidden="false" customHeight="false" outlineLevel="0" collapsed="false"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customFormat="false" ht="12.75" hidden="false" customHeight="false" outlineLevel="0" collapsed="false"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customFormat="false" ht="12.75" hidden="false" customHeight="false" outlineLevel="0" collapsed="false"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customFormat="false" ht="12.75" hidden="false" customHeight="false" outlineLevel="0" collapsed="false"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customFormat="false" ht="12.75" hidden="false" customHeight="false" outlineLevel="0" collapsed="false"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customFormat="false" ht="12.75" hidden="false" customHeight="false" outlineLevel="0" collapsed="false"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customFormat="false" ht="12.75" hidden="false" customHeight="false" outlineLevel="0" collapsed="false"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customFormat="false" ht="12.75" hidden="false" customHeight="false" outlineLevel="0" collapsed="false"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customFormat="false" ht="12.75" hidden="false" customHeight="false" outlineLevel="0" collapsed="false"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customFormat="false" ht="12.75" hidden="false" customHeight="false" outlineLevel="0" collapsed="false"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customFormat="false" ht="12.75" hidden="false" customHeight="false" outlineLevel="0" collapsed="false"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customFormat="false" ht="12.75" hidden="false" customHeight="false" outlineLevel="0" collapsed="false"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customFormat="false" ht="12.75" hidden="false" customHeight="false" outlineLevel="0" collapsed="false"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customFormat="false" ht="12.75" hidden="false" customHeight="false" outlineLevel="0" collapsed="false"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customFormat="false" ht="12.75" hidden="false" customHeight="false" outlineLevel="0" collapsed="false"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customFormat="false" ht="12.75" hidden="false" customHeight="false" outlineLevel="0" collapsed="false"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customFormat="false" ht="12.75" hidden="false" customHeight="false" outlineLevel="0" collapsed="false"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customFormat="false" ht="12.75" hidden="false" customHeight="false" outlineLevel="0" collapsed="false"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customFormat="false" ht="12.75" hidden="false" customHeight="false" outlineLevel="0" collapsed="false"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customFormat="false" ht="12.75" hidden="false" customHeight="false" outlineLevel="0" collapsed="false"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customFormat="false" ht="12.75" hidden="false" customHeight="false" outlineLevel="0" collapsed="false"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customFormat="false" ht="12.75" hidden="false" customHeight="false" outlineLevel="0" collapsed="false"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customFormat="false" ht="12.75" hidden="false" customHeight="false" outlineLevel="0" collapsed="false"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customFormat="false" ht="12.75" hidden="false" customHeight="false" outlineLevel="0" collapsed="false"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customFormat="false" ht="12.75" hidden="false" customHeight="false" outlineLevel="0" collapsed="false"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customFormat="false" ht="12.75" hidden="false" customHeight="false" outlineLevel="0" collapsed="false"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customFormat="false" ht="12.75" hidden="false" customHeight="false" outlineLevel="0" collapsed="false"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customFormat="false" ht="12.75" hidden="false" customHeight="false" outlineLevel="0" collapsed="false"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customFormat="false" ht="12.75" hidden="false" customHeight="false" outlineLevel="0" collapsed="false"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customFormat="false" ht="12.75" hidden="false" customHeight="false" outlineLevel="0" collapsed="false"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customFormat="false" ht="12.75" hidden="false" customHeight="false" outlineLevel="0" collapsed="false"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customFormat="false" ht="12.75" hidden="false" customHeight="false" outlineLevel="0" collapsed="false"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customFormat="false" ht="12.75" hidden="false" customHeight="false" outlineLevel="0" collapsed="false"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customFormat="false" ht="12.75" hidden="false" customHeight="false" outlineLevel="0" collapsed="false"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customFormat="false" ht="12.75" hidden="false" customHeight="false" outlineLevel="0" collapsed="false"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customFormat="false" ht="12.75" hidden="false" customHeight="false" outlineLevel="0" collapsed="false"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customFormat="false" ht="12.75" hidden="false" customHeight="false" outlineLevel="0" collapsed="false"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customFormat="false" ht="12.75" hidden="false" customHeight="false" outlineLevel="0" collapsed="false"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customFormat="false" ht="12.75" hidden="false" customHeight="false" outlineLevel="0" collapsed="false"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customFormat="false" ht="12.75" hidden="false" customHeight="false" outlineLevel="0" collapsed="false"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customFormat="false" ht="12.75" hidden="false" customHeight="false" outlineLevel="0" collapsed="false"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customFormat="false" ht="12.75" hidden="false" customHeight="false" outlineLevel="0" collapsed="false"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customFormat="false" ht="12.75" hidden="false" customHeight="false" outlineLevel="0" collapsed="false"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customFormat="false" ht="12.75" hidden="false" customHeight="false" outlineLevel="0" collapsed="false"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customFormat="false" ht="12.75" hidden="false" customHeight="false" outlineLevel="0" collapsed="false"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customFormat="false" ht="12.75" hidden="false" customHeight="false" outlineLevel="0" collapsed="false"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customFormat="false" ht="12.75" hidden="false" customHeight="false" outlineLevel="0" collapsed="false"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customFormat="false" ht="12.75" hidden="false" customHeight="false" outlineLevel="0" collapsed="false"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customFormat="false" ht="12.75" hidden="false" customHeight="false" outlineLevel="0" collapsed="false"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customFormat="false" ht="12.75" hidden="false" customHeight="false" outlineLevel="0" collapsed="false"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customFormat="false" ht="12.75" hidden="false" customHeight="false" outlineLevel="0" collapsed="false"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customFormat="false" ht="12.75" hidden="false" customHeight="false" outlineLevel="0" collapsed="false"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customFormat="false" ht="12.75" hidden="false" customHeight="false" outlineLevel="0" collapsed="false"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customFormat="false" ht="12.75" hidden="false" customHeight="false" outlineLevel="0" collapsed="false"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customFormat="false" ht="12.75" hidden="false" customHeight="false" outlineLevel="0" collapsed="false"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customFormat="false" ht="12.75" hidden="false" customHeight="false" outlineLevel="0" collapsed="false"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customFormat="false" ht="12.75" hidden="false" customHeight="false" outlineLevel="0" collapsed="false"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customFormat="false" ht="12.75" hidden="false" customHeight="false" outlineLevel="0" collapsed="false"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customFormat="false" ht="12.75" hidden="false" customHeight="false" outlineLevel="0" collapsed="false"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customFormat="false" ht="12.75" hidden="false" customHeight="false" outlineLevel="0" collapsed="false"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customFormat="false" ht="12.75" hidden="false" customHeight="false" outlineLevel="0" collapsed="false"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customFormat="false" ht="12.75" hidden="false" customHeight="false" outlineLevel="0" collapsed="false"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customFormat="false" ht="12.75" hidden="false" customHeight="false" outlineLevel="0" collapsed="false"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customFormat="false" ht="12.75" hidden="false" customHeight="false" outlineLevel="0" collapsed="false"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customFormat="false" ht="12.75" hidden="false" customHeight="false" outlineLevel="0" collapsed="false"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customFormat="false" ht="12.75" hidden="false" customHeight="false" outlineLevel="0" collapsed="false"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customFormat="false" ht="12.75" hidden="false" customHeight="false" outlineLevel="0" collapsed="false"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customFormat="false" ht="12.75" hidden="false" customHeight="false" outlineLevel="0" collapsed="false"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customFormat="false" ht="12.75" hidden="false" customHeight="false" outlineLevel="0" collapsed="false"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customFormat="false" ht="12.75" hidden="false" customHeight="false" outlineLevel="0" collapsed="false"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customFormat="false" ht="12.75" hidden="false" customHeight="false" outlineLevel="0" collapsed="false"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customFormat="false" ht="12.75" hidden="false" customHeight="false" outlineLevel="0" collapsed="false"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customFormat="false" ht="12.75" hidden="false" customHeight="false" outlineLevel="0" collapsed="false"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customFormat="false" ht="12.75" hidden="false" customHeight="false" outlineLevel="0" collapsed="false"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customFormat="false" ht="12.75" hidden="false" customHeight="false" outlineLevel="0" collapsed="false"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customFormat="false" ht="12.75" hidden="false" customHeight="false" outlineLevel="0" collapsed="false"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customFormat="false" ht="12.75" hidden="false" customHeight="false" outlineLevel="0" collapsed="false"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customFormat="false" ht="12.75" hidden="false" customHeight="false" outlineLevel="0" collapsed="false"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customFormat="false" ht="12.75" hidden="false" customHeight="false" outlineLevel="0" collapsed="false"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customFormat="false" ht="12.75" hidden="false" customHeight="false" outlineLevel="0" collapsed="false"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customFormat="false" ht="12.75" hidden="false" customHeight="false" outlineLevel="0" collapsed="false"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customFormat="false" ht="12.75" hidden="false" customHeight="false" outlineLevel="0" collapsed="false"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customFormat="false" ht="12.75" hidden="false" customHeight="false" outlineLevel="0" collapsed="false"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customFormat="false" ht="12.75" hidden="false" customHeight="false" outlineLevel="0" collapsed="false"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customFormat="false" ht="12.75" hidden="false" customHeight="false" outlineLevel="0" collapsed="false"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customFormat="false" ht="12.75" hidden="false" customHeight="false" outlineLevel="0" collapsed="false"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customFormat="false" ht="12.75" hidden="false" customHeight="false" outlineLevel="0" collapsed="false"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customFormat="false" ht="12.75" hidden="false" customHeight="false" outlineLevel="0" collapsed="false"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customFormat="false" ht="12.75" hidden="false" customHeight="false" outlineLevel="0" collapsed="false"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customFormat="false" ht="12.75" hidden="false" customHeight="false" outlineLevel="0" collapsed="false"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customFormat="false" ht="12.75" hidden="false" customHeight="false" outlineLevel="0" collapsed="false"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customFormat="false" ht="12.75" hidden="false" customHeight="false" outlineLevel="0" collapsed="false"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customFormat="false" ht="12.75" hidden="false" customHeight="false" outlineLevel="0" collapsed="false"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customFormat="false" ht="12.75" hidden="false" customHeight="false" outlineLevel="0" collapsed="false"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customFormat="false" ht="12.75" hidden="false" customHeight="false" outlineLevel="0" collapsed="false"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customFormat="false" ht="12.75" hidden="false" customHeight="false" outlineLevel="0" collapsed="false"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customFormat="false" ht="12.75" hidden="false" customHeight="false" outlineLevel="0" collapsed="false"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customFormat="false" ht="12.75" hidden="false" customHeight="false" outlineLevel="0" collapsed="false"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customFormat="false" ht="12.75" hidden="false" customHeight="false" outlineLevel="0" collapsed="false"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customFormat="false" ht="12.75" hidden="false" customHeight="false" outlineLevel="0" collapsed="false"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customFormat="false" ht="12.75" hidden="false" customHeight="false" outlineLevel="0" collapsed="false"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customFormat="false" ht="12.75" hidden="false" customHeight="false" outlineLevel="0" collapsed="false"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customFormat="false" ht="12.75" hidden="false" customHeight="false" outlineLevel="0" collapsed="false"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customFormat="false" ht="12.75" hidden="false" customHeight="false" outlineLevel="0" collapsed="false"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customFormat="false" ht="12.75" hidden="false" customHeight="false" outlineLevel="0" collapsed="false"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customFormat="false" ht="12.75" hidden="false" customHeight="false" outlineLevel="0" collapsed="false"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customFormat="false" ht="12.75" hidden="false" customHeight="false" outlineLevel="0" collapsed="false"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customFormat="false" ht="12.75" hidden="false" customHeight="false" outlineLevel="0" collapsed="false"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customFormat="false" ht="12.75" hidden="false" customHeight="false" outlineLevel="0" collapsed="false"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customFormat="false" ht="12.75" hidden="false" customHeight="false" outlineLevel="0" collapsed="false"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customFormat="false" ht="12.75" hidden="false" customHeight="false" outlineLevel="0" collapsed="false"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customFormat="false" ht="12.75" hidden="false" customHeight="false" outlineLevel="0" collapsed="false"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customFormat="false" ht="12.75" hidden="false" customHeight="false" outlineLevel="0" collapsed="false"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customFormat="false" ht="12.75" hidden="false" customHeight="false" outlineLevel="0" collapsed="false"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customFormat="false" ht="12.75" hidden="false" customHeight="false" outlineLevel="0" collapsed="false"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customFormat="false" ht="12.75" hidden="false" customHeight="false" outlineLevel="0" collapsed="false"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customFormat="false" ht="12.75" hidden="false" customHeight="false" outlineLevel="0" collapsed="false"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customFormat="false" ht="12.75" hidden="false" customHeight="false" outlineLevel="0" collapsed="false"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customFormat="false" ht="12.75" hidden="false" customHeight="false" outlineLevel="0" collapsed="false"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customFormat="false" ht="12.75" hidden="false" customHeight="false" outlineLevel="0" collapsed="false"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customFormat="false" ht="12.75" hidden="false" customHeight="false" outlineLevel="0" collapsed="false"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customFormat="false" ht="12.75" hidden="false" customHeight="false" outlineLevel="0" collapsed="false"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customFormat="false" ht="12.75" hidden="false" customHeight="false" outlineLevel="0" collapsed="false"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customFormat="false" ht="12.75" hidden="false" customHeight="false" outlineLevel="0" collapsed="false"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customFormat="false" ht="12.75" hidden="false" customHeight="false" outlineLevel="0" collapsed="false"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customFormat="false" ht="12.75" hidden="false" customHeight="false" outlineLevel="0" collapsed="false"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customFormat="false" ht="12.75" hidden="false" customHeight="false" outlineLevel="0" collapsed="false"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customFormat="false" ht="12.75" hidden="false" customHeight="false" outlineLevel="0" collapsed="false"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customFormat="false" ht="12.75" hidden="false" customHeight="false" outlineLevel="0" collapsed="false"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customFormat="false" ht="12.75" hidden="false" customHeight="false" outlineLevel="0" collapsed="false"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customFormat="false" ht="12.75" hidden="false" customHeight="false" outlineLevel="0" collapsed="false"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customFormat="false" ht="12.75" hidden="false" customHeight="false" outlineLevel="0" collapsed="false"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customFormat="false" ht="12.75" hidden="false" customHeight="false" outlineLevel="0" collapsed="false"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customFormat="false" ht="12.75" hidden="false" customHeight="false" outlineLevel="0" collapsed="false"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customFormat="false" ht="12.75" hidden="false" customHeight="false" outlineLevel="0" collapsed="false"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customFormat="false" ht="12.75" hidden="false" customHeight="false" outlineLevel="0" collapsed="false"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customFormat="false" ht="12.75" hidden="false" customHeight="false" outlineLevel="0" collapsed="false"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customFormat="false" ht="12.75" hidden="false" customHeight="false" outlineLevel="0" collapsed="false"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customFormat="false" ht="12.75" hidden="false" customHeight="false" outlineLevel="0" collapsed="false"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customFormat="false" ht="12.75" hidden="false" customHeight="false" outlineLevel="0" collapsed="false"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</sheetData>
  <mergeCells count="1">
    <mergeCell ref="I34:U35"/>
  </mergeCells>
  <conditionalFormatting sqref="D47">
    <cfRule type="cellIs" priority="2" operator="notBetween" aboveAverage="0" equalAverage="0" bottom="0" percent="0" rank="0" text="" dxfId="1">
      <formula>-32768</formula>
      <formula>32767</formula>
    </cfRule>
    <cfRule type="expression" priority="3" aboveAverage="0" equalAverage="0" bottom="0" percent="0" rank="0" text="" dxfId="2">
      <formula>D43</formula>
    </cfRule>
  </conditionalFormatting>
  <conditionalFormatting sqref="D48">
    <cfRule type="cellIs" priority="4" operator="notBetween" aboveAverage="0" equalAverage="0" bottom="0" percent="0" rank="0" text="" dxfId="3">
      <formula>-32768</formula>
      <formula>32767</formula>
    </cfRule>
    <cfRule type="expression" priority="5" aboveAverage="0" equalAverage="0" bottom="0" percent="0" rank="0" text="" dxfId="4">
      <formula>D43</formula>
    </cfRule>
  </conditionalFormatting>
  <conditionalFormatting sqref="D49">
    <cfRule type="cellIs" priority="6" operator="notBetween" aboveAverage="0" equalAverage="0" bottom="0" percent="0" rank="0" text="" dxfId="5">
      <formula>-32768</formula>
      <formula>32767</formula>
    </cfRule>
    <cfRule type="expression" priority="7" aboveAverage="0" equalAverage="0" bottom="0" percent="0" rank="0" text="" dxfId="6">
      <formula>D43</formula>
    </cfRule>
  </conditionalFormatting>
  <conditionalFormatting sqref="D50">
    <cfRule type="cellIs" priority="8" operator="notBetween" aboveAverage="0" equalAverage="0" bottom="0" percent="0" rank="0" text="" dxfId="7">
      <formula>-32768</formula>
      <formula>32767</formula>
    </cfRule>
    <cfRule type="expression" priority="9" aboveAverage="0" equalAverage="0" bottom="0" percent="0" rank="0" text="" dxfId="8">
      <formula>D43</formula>
    </cfRule>
  </conditionalFormatting>
  <conditionalFormatting sqref="D51">
    <cfRule type="cellIs" priority="10" operator="notBetween" aboveAverage="0" equalAverage="0" bottom="0" percent="0" rank="0" text="" dxfId="9">
      <formula>0</formula>
      <formula>32767</formula>
    </cfRule>
    <cfRule type="expression" priority="11" aboveAverage="0" equalAverage="0" bottom="0" percent="0" rank="0" text="" dxfId="10">
      <formula>D43</formula>
    </cfRule>
  </conditionalFormatting>
  <conditionalFormatting sqref="D52">
    <cfRule type="cellIs" priority="12" operator="notBetween" aboveAverage="0" equalAverage="0" bottom="0" percent="0" rank="0" text="" dxfId="11">
      <formula>-32768</formula>
      <formula>32767</formula>
    </cfRule>
    <cfRule type="expression" priority="13" aboveAverage="0" equalAverage="0" bottom="0" percent="0" rank="0" text="" dxfId="12">
      <formula>D43</formula>
    </cfRule>
  </conditionalFormatting>
  <conditionalFormatting sqref="D53">
    <cfRule type="cellIs" priority="14" operator="notBetween" aboveAverage="0" equalAverage="0" bottom="0" percent="0" rank="0" text="" dxfId="13">
      <formula>-12.8</formula>
      <formula>12.7</formula>
    </cfRule>
    <cfRule type="expression" priority="15" aboveAverage="0" equalAverage="0" bottom="0" percent="0" rank="0" text="" dxfId="14">
      <formula>D43</formula>
    </cfRule>
  </conditionalFormatting>
  <conditionalFormatting sqref="U4:V33 U36:V39 V34:V35">
    <cfRule type="cellIs" priority="16" operator="notBetween" aboveAverage="0" equalAverage="0" bottom="0" percent="0" rank="0" text="" dxfId="15">
      <formula>-32768</formula>
      <formula>32767</formula>
    </cfRule>
  </conditionalFormatting>
  <conditionalFormatting sqref="E56">
    <cfRule type="cellIs" priority="17" operator="notBetween" aboveAverage="0" equalAverage="0" bottom="0" percent="0" rank="0" text="" dxfId="16">
      <formula>-32768</formula>
      <formula>32767</formula>
    </cfRule>
  </conditionalFormatting>
  <dataValidations count="3">
    <dataValidation allowBlank="true" errorStyle="stop" operator="between" showDropDown="false" showErrorMessage="true" showInputMessage="true" sqref="D26" type="list">
      <formula1>$F$4:$F$34</formula1>
      <formula2>0</formula2>
    </dataValidation>
    <dataValidation allowBlank="true" errorStyle="stop" operator="between" showDropDown="false" showErrorMessage="true" showInputMessage="true" sqref="D7 D9" type="list">
      <formula1>Tolerance</formula1>
      <formula2>0</formula2>
    </dataValidation>
    <dataValidation allowBlank="true" errorStyle="stop" operator="between" showDropDown="false" showErrorMessage="true" showInputMessage="true" sqref="D3:D4" type="list">
      <formula1>$F$4:$F$39</formula1>
      <formula2>0</formula2>
    </dataValidation>
  </dataValidations>
  <printOptions headings="false" gridLines="false" gridLinesSet="true" horizontalCentered="false" verticalCentered="false"/>
  <pageMargins left="0.25" right="0.25" top="0.25" bottom="0.25" header="0.511811023622047" footer="0.511811023622047"/>
  <pageSetup paperSize="1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A6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0" activeCellId="0" sqref="C10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3" min="3" style="0" width="10.42"/>
    <col collapsed="false" customWidth="true" hidden="false" outlineLevel="0" max="4" min="4" style="0" width="10.57"/>
    <col collapsed="false" customWidth="true" hidden="false" outlineLevel="0" max="5" min="5" style="0" width="10"/>
    <col collapsed="false" customWidth="true" hidden="false" outlineLevel="0" max="6" min="6" style="0" width="10.29"/>
    <col collapsed="false" customWidth="true" hidden="false" outlineLevel="0" max="7" min="7" style="0" width="10.57"/>
    <col collapsed="false" customWidth="true" hidden="false" outlineLevel="0" max="27" min="26" style="0" width="10.57"/>
  </cols>
  <sheetData>
    <row r="2" customFormat="false" ht="12.75" hidden="false" customHeight="false" outlineLevel="0" collapsed="false">
      <c r="G2" s="0" t="s">
        <v>40</v>
      </c>
      <c r="O2" s="0" t="s">
        <v>41</v>
      </c>
      <c r="P2" s="0" t="s">
        <v>41</v>
      </c>
      <c r="Q2" s="0" t="s">
        <v>42</v>
      </c>
      <c r="R2" s="0" t="s">
        <v>42</v>
      </c>
    </row>
    <row r="3" customFormat="false" ht="12.75" hidden="false" customHeight="false" outlineLevel="0" collapsed="false">
      <c r="O3" s="0" t="s">
        <v>43</v>
      </c>
      <c r="P3" s="0" t="s">
        <v>44</v>
      </c>
      <c r="Q3" s="0" t="s">
        <v>43</v>
      </c>
      <c r="R3" s="0" t="s">
        <v>44</v>
      </c>
    </row>
    <row r="4" customFormat="false" ht="12.75" hidden="false" customHeight="false" outlineLevel="0" collapsed="false">
      <c r="C4" s="45" t="s">
        <v>45</v>
      </c>
      <c r="D4" s="45" t="s">
        <v>46</v>
      </c>
      <c r="G4" s="0" t="s">
        <v>47</v>
      </c>
      <c r="H4" s="0" t="s">
        <v>48</v>
      </c>
      <c r="I4" s="0" t="s">
        <v>49</v>
      </c>
      <c r="K4" s="0" t="s">
        <v>50</v>
      </c>
      <c r="T4" s="0" t="s">
        <v>51</v>
      </c>
      <c r="U4" s="0" t="s">
        <v>52</v>
      </c>
      <c r="W4" s="0" t="s">
        <v>53</v>
      </c>
      <c r="X4" s="0" t="s">
        <v>54</v>
      </c>
      <c r="Z4" s="0" t="s">
        <v>55</v>
      </c>
      <c r="AA4" s="0" t="s">
        <v>56</v>
      </c>
    </row>
    <row r="5" customFormat="false" ht="12.75" hidden="false" customHeight="false" outlineLevel="0" collapsed="false">
      <c r="C5" s="26" t="n">
        <f aca="false">Accuracy!F4</f>
        <v>-40</v>
      </c>
      <c r="D5" s="26" t="n">
        <f aca="false">Accuracy!G4</f>
        <v>188500</v>
      </c>
      <c r="G5" s="46" t="n">
        <f aca="false">1/($D$53+$E$53*LN(D5)+$F$53*LN(D5)^3)-273.15</f>
        <v>-40.0000000000001</v>
      </c>
      <c r="H5" s="47" t="n">
        <f aca="false">(G5)/(C5)-1</f>
        <v>0</v>
      </c>
      <c r="I5" s="48" t="n">
        <f aca="false">G5-C5</f>
        <v>-5.6843418860808E-014</v>
      </c>
      <c r="K5" s="0" t="n">
        <f aca="false">LN(D5/$D$18)*(C5+273.15)*($C$18+273.15)/($C$18-C5)</f>
        <v>3140.42764597615</v>
      </c>
      <c r="L5" s="0" t="n">
        <f aca="false">$D$18*EXP(K5*($C$18-C5)/(($C$18+273.15)*(C5+273.15)))</f>
        <v>188500</v>
      </c>
      <c r="O5" s="49" t="n">
        <f aca="false">$D$18*(1-Accuracy!$D$7)*EXP(K5*(1-Accuracy!$D$9)*($C$18-C5)/(($C$18+273.15)*(C5+273.15)))</f>
        <v>181214.704666179</v>
      </c>
      <c r="P5" s="49" t="n">
        <f aca="false">$D$18*(1-Accuracy!$D$7)*EXP(K5*(1+Accuracy!$D$9)*($C$18-C5)/(($C$18+273.15)*(C5+273.15)))</f>
        <v>192176.227029437</v>
      </c>
      <c r="Q5" s="49" t="n">
        <f aca="false">$D$18*(1+Accuracy!$D$7)*EXP(K5*(1-Accuracy!$D$9)*($C$18-C5)/(($C$18+273.15)*(C5+273.15)))</f>
        <v>184875.607790749</v>
      </c>
      <c r="R5" s="49" t="n">
        <f aca="false">$D$18*(1+Accuracy!$D$7)*EXP(K5*(1+Accuracy!$D$9)*($C$18-C5)/(($C$18+273.15)*(C5+273.15)))</f>
        <v>196058.575050233</v>
      </c>
      <c r="T5" s="49" t="n">
        <f aca="false">MIN(O5:R5)</f>
        <v>181214.704666179</v>
      </c>
      <c r="U5" s="49" t="n">
        <f aca="false">MAX(O5:R5)</f>
        <v>196058.575050233</v>
      </c>
      <c r="V5" s="49"/>
      <c r="W5" s="50" t="n">
        <f aca="false">T5/D5-1</f>
        <v>-0.038648781611781</v>
      </c>
      <c r="X5" s="50" t="n">
        <f aca="false">U5/D5-1</f>
        <v>0.0400985413805484</v>
      </c>
      <c r="Y5" s="50"/>
      <c r="Z5" s="48" t="n">
        <f aca="false">-(1/($D$53+$E$53*LN(T5)+$F$53*LN(T5)^3)-273.15-C5)</f>
        <v>-0.724931747261167</v>
      </c>
      <c r="AA5" s="48" t="n">
        <f aca="false">-(1/($D$53+$E$53*LN(U5)+$F$53*LN(U5)^3)-273.15-C5)</f>
        <v>0.719815193607218</v>
      </c>
    </row>
    <row r="6" customFormat="false" ht="12.75" hidden="false" customHeight="false" outlineLevel="0" collapsed="false">
      <c r="C6" s="26" t="n">
        <f aca="false">Accuracy!F5</f>
        <v>-35</v>
      </c>
      <c r="D6" s="26" t="n">
        <f aca="false">Accuracy!G5</f>
        <v>144100</v>
      </c>
      <c r="G6" s="46" t="n">
        <f aca="false">1/($D$53+$E$53*LN(D6)+$F$53*LN(D6)^3)-273.15</f>
        <v>-34.993668573189</v>
      </c>
      <c r="H6" s="47" t="n">
        <f aca="false">(G6)/(C6)-1</f>
        <v>-0.000180897908886202</v>
      </c>
      <c r="I6" s="48" t="n">
        <f aca="false">G6-C6</f>
        <v>0.00633142681101617</v>
      </c>
      <c r="K6" s="0" t="n">
        <f aca="false">LN(D6/$D$18)*(C6+273.15)*($C$18+273.15)/($C$18-C6)</f>
        <v>3157.23816662783</v>
      </c>
      <c r="L6" s="0" t="n">
        <f aca="false">$D$18*EXP(K6*($C$18-C6)/(($C$18+273.15)*(C6+273.15)))</f>
        <v>144100</v>
      </c>
      <c r="O6" s="49" t="n">
        <f aca="false">$D$18*(1-Accuracy!$D$7)*EXP(K6*(1-Accuracy!$D$9)*($C$18-C6)/(($C$18+273.15)*(C6+273.15)))</f>
        <v>138903.291037186</v>
      </c>
      <c r="P6" s="49" t="n">
        <f aca="false">$D$18*(1-Accuracy!$D$7)*EXP(K6*(1+Accuracy!$D$9)*($C$18-C6)/(($C$18+273.15)*(C6+273.15)))</f>
        <v>146516.256951404</v>
      </c>
      <c r="Q6" s="49" t="n">
        <f aca="false">$D$18*(1+Accuracy!$D$7)*EXP(K6*(1-Accuracy!$D$9)*($C$18-C6)/(($C$18+273.15)*(C6+273.15)))</f>
        <v>141709.418128846</v>
      </c>
      <c r="R6" s="49" t="n">
        <f aca="false">$D$18*(1+Accuracy!$D$7)*EXP(K6*(1+Accuracy!$D$9)*($C$18-C6)/(($C$18+273.15)*(C6+273.15)))</f>
        <v>149476.181334261</v>
      </c>
      <c r="T6" s="49" t="n">
        <f aca="false">MIN(O6:R6)</f>
        <v>138903.291037186</v>
      </c>
      <c r="U6" s="49" t="n">
        <f aca="false">MAX(O6:R6)</f>
        <v>149476.181334261</v>
      </c>
      <c r="V6" s="49"/>
      <c r="W6" s="50" t="n">
        <f aca="false">T6/D6-1</f>
        <v>-0.0360632127884407</v>
      </c>
      <c r="X6" s="50" t="n">
        <f aca="false">U6/D6-1</f>
        <v>0.0373086837908476</v>
      </c>
      <c r="Y6" s="50"/>
      <c r="Z6" s="48" t="n">
        <f aca="false">-(1/($D$53+$E$53*LN(T6)+$F$53*LN(T6)^3)-273.15-C6)</f>
        <v>-0.703237611194368</v>
      </c>
      <c r="AA6" s="48" t="n">
        <f aca="false">-(1/($D$53+$E$53*LN(U6)+$F$53*LN(U6)^3)-273.15-C6)</f>
        <v>0.68568970186135</v>
      </c>
    </row>
    <row r="7" customFormat="false" ht="12.75" hidden="false" customHeight="false" outlineLevel="0" collapsed="false">
      <c r="C7" s="26" t="n">
        <f aca="false">Accuracy!F6</f>
        <v>-30</v>
      </c>
      <c r="D7" s="26" t="n">
        <f aca="false">Accuracy!G6</f>
        <v>111300</v>
      </c>
      <c r="G7" s="46" t="n">
        <f aca="false">1/($D$53+$E$53*LN(D7)+$F$53*LN(D7)^3)-273.15</f>
        <v>-30.028311490318</v>
      </c>
      <c r="H7" s="47" t="n">
        <f aca="false">(G7)/(C7)-1</f>
        <v>0.000943716343934309</v>
      </c>
      <c r="I7" s="48" t="n">
        <f aca="false">G7-C7</f>
        <v>-0.0283114903180319</v>
      </c>
      <c r="K7" s="0" t="n">
        <f aca="false">LN(D7/$D$18)*(C7+273.15)*($C$18+273.15)/($C$18-C7)</f>
        <v>3176.13762592968</v>
      </c>
      <c r="L7" s="0" t="n">
        <f aca="false">$D$18*EXP(K7*($C$18-C7)/(($C$18+273.15)*(C7+273.15)))</f>
        <v>111300</v>
      </c>
      <c r="O7" s="49" t="n">
        <f aca="false">$D$18*(1-Accuracy!$D$7)*EXP(K7*(1-Accuracy!$D$9)*($C$18-C7)/(($C$18+273.15)*(C7+273.15)))</f>
        <v>107563.619387612</v>
      </c>
      <c r="P7" s="49" t="n">
        <f aca="false">$D$18*(1-Accuracy!$D$7)*EXP(K7*(1+Accuracy!$D$9)*($C$18-C7)/(($C$18+273.15)*(C7+273.15)))</f>
        <v>112874.362522598</v>
      </c>
      <c r="Q7" s="49" t="n">
        <f aca="false">$D$18*(1+Accuracy!$D$7)*EXP(K7*(1-Accuracy!$D$9)*($C$18-C7)/(($C$18+273.15)*(C7+273.15)))</f>
        <v>109736.621799482</v>
      </c>
      <c r="R7" s="49" t="n">
        <f aca="false">$D$18*(1+Accuracy!$D$7)*EXP(K7*(1+Accuracy!$D$9)*($C$18-C7)/(($C$18+273.15)*(C7+273.15)))</f>
        <v>115154.65267457</v>
      </c>
      <c r="T7" s="49" t="n">
        <f aca="false">MIN(O7:R7)</f>
        <v>107563.619387612</v>
      </c>
      <c r="U7" s="49" t="n">
        <f aca="false">MAX(O7:R7)</f>
        <v>115154.65267457</v>
      </c>
      <c r="V7" s="49"/>
      <c r="W7" s="50" t="n">
        <f aca="false">T7/D7-1</f>
        <v>-0.0335703559064552</v>
      </c>
      <c r="X7" s="50" t="n">
        <f aca="false">U7/D7-1</f>
        <v>0.0346329979745688</v>
      </c>
      <c r="Y7" s="50"/>
      <c r="Z7" s="48" t="n">
        <f aca="false">-(1/($D$53+$E$53*LN(T7)+$F$53*LN(T7)^3)-273.15-C7)</f>
        <v>-0.639641626476532</v>
      </c>
      <c r="AA7" s="48" t="n">
        <f aca="false">-(1/($D$53+$E$53*LN(U7)+$F$53*LN(U7)^3)-273.15-C7)</f>
        <v>0.691600141716862</v>
      </c>
    </row>
    <row r="8" customFormat="false" ht="12.75" hidden="false" customHeight="false" outlineLevel="0" collapsed="false">
      <c r="C8" s="26" t="n">
        <f aca="false">Accuracy!F7</f>
        <v>-25</v>
      </c>
      <c r="D8" s="26" t="n">
        <f aca="false">Accuracy!G7</f>
        <v>86430</v>
      </c>
      <c r="G8" s="46" t="n">
        <f aca="false">1/($D$53+$E$53*LN(D8)+$F$53*LN(D8)^3)-273.15</f>
        <v>-25.0156779762526</v>
      </c>
      <c r="H8" s="47" t="n">
        <f aca="false">(G8)/(C8)-1</f>
        <v>0.000627119050102376</v>
      </c>
      <c r="I8" s="48" t="n">
        <f aca="false">G8-C8</f>
        <v>-0.0156779762525616</v>
      </c>
      <c r="K8" s="0" t="n">
        <f aca="false">LN(D8/$D$18)*(C8+273.15)*($C$18+273.15)/($C$18-C8)</f>
        <v>3191.3823893697</v>
      </c>
      <c r="L8" s="0" t="n">
        <f aca="false">$D$18*EXP(K8*($C$18-C8)/(($C$18+273.15)*(C8+273.15)))</f>
        <v>86430</v>
      </c>
      <c r="O8" s="49" t="n">
        <f aca="false">$D$18*(1-Accuracy!$D$7)*EXP(K8*(1-Accuracy!$D$9)*($C$18-C8)/(($C$18+273.15)*(C8+273.15)))</f>
        <v>83740.0204218725</v>
      </c>
      <c r="P8" s="49" t="n">
        <f aca="false">$D$18*(1-Accuracy!$D$7)*EXP(K8*(1+Accuracy!$D$9)*($C$18-C8)/(($C$18+273.15)*(C8+273.15)))</f>
        <v>87431.1826006871</v>
      </c>
      <c r="Q8" s="49" t="n">
        <f aca="false">$D$18*(1+Accuracy!$D$7)*EXP(K8*(1-Accuracy!$D$9)*($C$18-C8)/(($C$18+273.15)*(C8+273.15)))</f>
        <v>85431.7380061528</v>
      </c>
      <c r="R8" s="49" t="n">
        <f aca="false">$D$18*(1+Accuracy!$D$7)*EXP(K8*(1+Accuracy!$D$9)*($C$18-C8)/(($C$18+273.15)*(C8+273.15)))</f>
        <v>89197.4691178727</v>
      </c>
      <c r="T8" s="49" t="n">
        <f aca="false">MIN(O8:R8)</f>
        <v>83740.0204218725</v>
      </c>
      <c r="U8" s="49" t="n">
        <f aca="false">MAX(O8:R8)</f>
        <v>89197.4691178727</v>
      </c>
      <c r="V8" s="49"/>
      <c r="W8" s="50" t="n">
        <f aca="false">T8/D8-1</f>
        <v>-0.0311232162226945</v>
      </c>
      <c r="X8" s="50" t="n">
        <f aca="false">U8/D8-1</f>
        <v>0.0320197745906823</v>
      </c>
      <c r="Y8" s="50"/>
      <c r="Z8" s="48" t="n">
        <f aca="false">-(1/($D$53+$E$53*LN(T8)+$F$53*LN(T8)^3)-273.15-C8)</f>
        <v>-0.621876119545846</v>
      </c>
      <c r="AA8" s="48" t="n">
        <f aca="false">-(1/($D$53+$E$53*LN(U8)+$F$53*LN(U8)^3)-273.15-C8)</f>
        <v>0.648780431742551</v>
      </c>
    </row>
    <row r="9" customFormat="false" ht="12.75" hidden="false" customHeight="false" outlineLevel="0" collapsed="false">
      <c r="C9" s="26" t="n">
        <f aca="false">Accuracy!F8</f>
        <v>-20</v>
      </c>
      <c r="D9" s="26" t="n">
        <f aca="false">Accuracy!G8</f>
        <v>67770</v>
      </c>
      <c r="G9" s="46" t="n">
        <f aca="false">1/($D$53+$E$53*LN(D9)+$F$53*LN(D9)^3)-273.15</f>
        <v>-20.0472928044244</v>
      </c>
      <c r="H9" s="47" t="n">
        <f aca="false">(G9)/(C9)-1</f>
        <v>0.00236464022122074</v>
      </c>
      <c r="I9" s="48" t="n">
        <f aca="false">G9-C9</f>
        <v>-0.0472928044244156</v>
      </c>
      <c r="K9" s="0" t="n">
        <f aca="false">LN(D9/$D$18)*(C9+273.15)*($C$18+273.15)/($C$18-C9)</f>
        <v>3209.49374995481</v>
      </c>
      <c r="L9" s="0" t="n">
        <f aca="false">$D$18*EXP(K9*($C$18-C9)/(($C$18+273.15)*(C9+273.15)))</f>
        <v>67770</v>
      </c>
      <c r="O9" s="49" t="n">
        <f aca="false">$D$18*(1-Accuracy!$D$7)*EXP(K9*(1-Accuracy!$D$9)*($C$18-C9)/(($C$18+273.15)*(C9+273.15)))</f>
        <v>65820.671006581</v>
      </c>
      <c r="P9" s="49" t="n">
        <f aca="false">$D$18*(1-Accuracy!$D$7)*EXP(K9*(1+Accuracy!$D$9)*($C$18-C9)/(($C$18+273.15)*(C9+273.15)))</f>
        <v>68388.4963561058</v>
      </c>
      <c r="Q9" s="49" t="n">
        <f aca="false">$D$18*(1+Accuracy!$D$7)*EXP(K9*(1-Accuracy!$D$9)*($C$18-C9)/(($C$18+273.15)*(C9+273.15)))</f>
        <v>67150.3815319665</v>
      </c>
      <c r="R9" s="49" t="n">
        <f aca="false">$D$18*(1+Accuracy!$D$7)*EXP(K9*(1+Accuracy!$D$9)*($C$18-C9)/(($C$18+273.15)*(C9+273.15)))</f>
        <v>69770.0821410776</v>
      </c>
      <c r="T9" s="49" t="n">
        <f aca="false">MIN(O9:R9)</f>
        <v>65820.671006581</v>
      </c>
      <c r="U9" s="49" t="n">
        <f aca="false">MAX(O9:R9)</f>
        <v>69770.0821410776</v>
      </c>
      <c r="V9" s="49"/>
      <c r="W9" s="50" t="n">
        <f aca="false">T9/D9-1</f>
        <v>-0.0287638924807286</v>
      </c>
      <c r="X9" s="50" t="n">
        <f aca="false">U9/D9-1</f>
        <v>0.0295127953530705</v>
      </c>
      <c r="Y9" s="50"/>
      <c r="Z9" s="48" t="n">
        <f aca="false">-(1/($D$53+$E$53*LN(T9)+$F$53*LN(T9)^3)-273.15-C9)</f>
        <v>-0.558967981709714</v>
      </c>
      <c r="AA9" s="48" t="n">
        <f aca="false">-(1/($D$53+$E$53*LN(U9)+$F$53*LN(U9)^3)-273.15-C9)</f>
        <v>0.649302331056504</v>
      </c>
    </row>
    <row r="10" customFormat="false" ht="12.75" hidden="false" customHeight="false" outlineLevel="0" collapsed="false">
      <c r="C10" s="26" t="n">
        <f aca="false">Accuracy!F9</f>
        <v>-15</v>
      </c>
      <c r="D10" s="26" t="n">
        <f aca="false">Accuracy!G9</f>
        <v>53410</v>
      </c>
      <c r="G10" s="46" t="n">
        <f aca="false">1/($D$53+$E$53*LN(D10)+$F$53*LN(D10)^3)-273.15</f>
        <v>-15.0359590764278</v>
      </c>
      <c r="H10" s="47" t="n">
        <f aca="false">(G10)/(C10)-1</f>
        <v>0.00239727176185633</v>
      </c>
      <c r="I10" s="48" t="n">
        <f aca="false">G10-C10</f>
        <v>-0.0359590764278437</v>
      </c>
      <c r="K10" s="0" t="n">
        <f aca="false">LN(D10/$D$18)*(C10+273.15)*($C$18+273.15)/($C$18-C10)</f>
        <v>3223.80531601859</v>
      </c>
      <c r="L10" s="0" t="n">
        <f aca="false">$D$18*EXP(K10*($C$18-C10)/(($C$18+273.15)*(C10+273.15)))</f>
        <v>53410</v>
      </c>
      <c r="O10" s="49" t="n">
        <f aca="false">$D$18*(1-Accuracy!$D$7)*EXP(K10*(1-Accuracy!$D$9)*($C$18-C10)/(($C$18+273.15)*(C10+273.15)))</f>
        <v>51997.3902324565</v>
      </c>
      <c r="P10" s="49" t="n">
        <f aca="false">$D$18*(1-Accuracy!$D$7)*EXP(K10*(1+Accuracy!$D$9)*($C$18-C10)/(($C$18+273.15)*(C10+273.15)))</f>
        <v>53769.2524242272</v>
      </c>
      <c r="Q10" s="49" t="n">
        <f aca="false">$D$18*(1+Accuracy!$D$7)*EXP(K10*(1-Accuracy!$D$9)*($C$18-C10)/(($C$18+273.15)*(C10+273.15)))</f>
        <v>53047.842560385</v>
      </c>
      <c r="R10" s="49" t="n">
        <f aca="false">$D$18*(1+Accuracy!$D$7)*EXP(K10*(1+Accuracy!$D$9)*($C$18-C10)/(($C$18+273.15)*(C10+273.15)))</f>
        <v>54855.499947949</v>
      </c>
      <c r="T10" s="49" t="n">
        <f aca="false">MIN(O10:R10)</f>
        <v>51997.3902324565</v>
      </c>
      <c r="U10" s="49" t="n">
        <f aca="false">MAX(O10:R10)</f>
        <v>54855.499947949</v>
      </c>
      <c r="V10" s="49"/>
      <c r="W10" s="50" t="n">
        <f aca="false">T10/D10-1</f>
        <v>-0.0264484135469663</v>
      </c>
      <c r="X10" s="50" t="n">
        <f aca="false">U10/D10-1</f>
        <v>0.0270642192089303</v>
      </c>
      <c r="Y10" s="50"/>
      <c r="Z10" s="48" t="n">
        <f aca="false">-(1/($D$53+$E$53*LN(T10)+$F$53*LN(T10)^3)-273.15-C10)</f>
        <v>-0.537562394775648</v>
      </c>
      <c r="AA10" s="48" t="n">
        <f aca="false">-(1/($D$53+$E$53*LN(U10)+$F$53*LN(U10)^3)-273.15-C10)</f>
        <v>0.605419921449084</v>
      </c>
    </row>
    <row r="11" customFormat="false" ht="12.75" hidden="false" customHeight="false" outlineLevel="0" collapsed="false">
      <c r="C11" s="26" t="n">
        <f aca="false">Accuracy!F10</f>
        <v>-10</v>
      </c>
      <c r="D11" s="26" t="n">
        <f aca="false">Accuracy!G10</f>
        <v>42470</v>
      </c>
      <c r="G11" s="46" t="n">
        <f aca="false">1/($D$53+$E$53*LN(D11)+$F$53*LN(D11)^3)-273.15</f>
        <v>-10.0684469452116</v>
      </c>
      <c r="H11" s="47" t="n">
        <f aca="false">(G11)/(C11)-1</f>
        <v>0.00684469452115755</v>
      </c>
      <c r="I11" s="48" t="n">
        <f aca="false">G11-C11</f>
        <v>-0.0684469452115764</v>
      </c>
      <c r="K11" s="0" t="n">
        <f aca="false">LN(D11/$D$18)*(C11+273.15)*($C$18+273.15)/($C$18-C11)</f>
        <v>3241.92049604157</v>
      </c>
      <c r="L11" s="0" t="n">
        <f aca="false">$D$18*EXP(K11*($C$18-C11)/(($C$18+273.15)*(C11+273.15)))</f>
        <v>42470</v>
      </c>
      <c r="O11" s="49" t="n">
        <f aca="false">$D$18*(1-Accuracy!$D$7)*EXP(K11*(1-Accuracy!$D$9)*($C$18-C11)/(($C$18+273.15)*(C11+273.15)))</f>
        <v>41441.611301701</v>
      </c>
      <c r="P11" s="49" t="n">
        <f aca="false">$D$18*(1-Accuracy!$D$7)*EXP(K11*(1+Accuracy!$D$9)*($C$18-C11)/(($C$18+273.15)*(C11+273.15)))</f>
        <v>42657.7827589788</v>
      </c>
      <c r="Q11" s="49" t="n">
        <f aca="false">$D$18*(1+Accuracy!$D$7)*EXP(K11*(1-Accuracy!$D$9)*($C$18-C11)/(($C$18+273.15)*(C11+273.15)))</f>
        <v>42278.8155704222</v>
      </c>
      <c r="R11" s="49" t="n">
        <f aca="false">$D$18*(1+Accuracy!$D$7)*EXP(K11*(1+Accuracy!$D$9)*($C$18-C11)/(($C$18+273.15)*(C11+273.15)))</f>
        <v>43519.5561480491</v>
      </c>
      <c r="T11" s="49" t="n">
        <f aca="false">MIN(O11:R11)</f>
        <v>41441.611301701</v>
      </c>
      <c r="U11" s="49" t="n">
        <f aca="false">MAX(O11:R11)</f>
        <v>43519.5561480491</v>
      </c>
      <c r="V11" s="49"/>
      <c r="W11" s="50" t="n">
        <f aca="false">T11/D11-1</f>
        <v>-0.0242144737061226</v>
      </c>
      <c r="X11" s="50" t="n">
        <f aca="false">U11/D11-1</f>
        <v>0.0247128831657419</v>
      </c>
      <c r="Y11" s="50"/>
      <c r="Z11" s="48" t="n">
        <f aca="false">-(1/($D$53+$E$53*LN(T11)+$F$53*LN(T11)^3)-273.15-C11)</f>
        <v>-0.471452933983869</v>
      </c>
      <c r="AA11" s="48" t="n">
        <f aca="false">-(1/($D$53+$E$53*LN(U11)+$F$53*LN(U11)^3)-273.15-C11)</f>
        <v>0.604462942624025</v>
      </c>
    </row>
    <row r="12" customFormat="false" ht="12.75" hidden="false" customHeight="false" outlineLevel="0" collapsed="false">
      <c r="C12" s="26" t="n">
        <f aca="false">Accuracy!F11</f>
        <v>-5</v>
      </c>
      <c r="D12" s="26" t="n">
        <f aca="false">Accuracy!G11</f>
        <v>33900</v>
      </c>
      <c r="G12" s="46" t="n">
        <f aca="false">1/($D$53+$E$53*LN(D12)+$F$53*LN(D12)^3)-273.15</f>
        <v>-5.03944986074981</v>
      </c>
      <c r="H12" s="47" t="n">
        <f aca="false">(G12)/(C12)-1</f>
        <v>0.00788997214996234</v>
      </c>
      <c r="I12" s="48" t="n">
        <f aca="false">G12-C12</f>
        <v>-0.0394498607498122</v>
      </c>
      <c r="K12" s="0" t="n">
        <f aca="false">LN(D12/$D$18)*(C12+273.15)*($C$18+273.15)/($C$18-C12)</f>
        <v>3253.46789236929</v>
      </c>
      <c r="L12" s="0" t="n">
        <f aca="false">$D$18*EXP(K12*($C$18-C12)/(($C$18+273.15)*(C12+273.15)))</f>
        <v>33900</v>
      </c>
      <c r="O12" s="49" t="n">
        <f aca="false">$D$18*(1-Accuracy!$D$7)*EXP(K12*(1-Accuracy!$D$9)*($C$18-C12)/(($C$18+273.15)*(C12+273.15)))</f>
        <v>33153.7681322216</v>
      </c>
      <c r="P12" s="49" t="n">
        <f aca="false">$D$18*(1-Accuracy!$D$7)*EXP(K12*(1+Accuracy!$D$9)*($C$18-C12)/(($C$18+273.15)*(C12+273.15)))</f>
        <v>33973.2339475864</v>
      </c>
      <c r="Q12" s="49" t="n">
        <f aca="false">$D$18*(1+Accuracy!$D$7)*EXP(K12*(1-Accuracy!$D$9)*($C$18-C12)/(($C$18+273.15)*(C12+273.15)))</f>
        <v>33823.5412258018</v>
      </c>
      <c r="R12" s="49" t="n">
        <f aca="false">$D$18*(1+Accuracy!$D$7)*EXP(K12*(1+Accuracy!$D$9)*($C$18-C12)/(($C$18+273.15)*(C12+273.15)))</f>
        <v>34659.5619061236</v>
      </c>
      <c r="T12" s="49" t="n">
        <f aca="false">MIN(O12:R12)</f>
        <v>33153.7681322216</v>
      </c>
      <c r="U12" s="49" t="n">
        <f aca="false">MAX(O12:R12)</f>
        <v>34659.5619061236</v>
      </c>
      <c r="V12" s="49"/>
      <c r="W12" s="50" t="n">
        <f aca="false">T12/D12-1</f>
        <v>-0.0220127394624896</v>
      </c>
      <c r="X12" s="50" t="n">
        <f aca="false">U12/D12-1</f>
        <v>0.022405955932848</v>
      </c>
      <c r="Y12" s="50"/>
      <c r="Z12" s="48" t="n">
        <f aca="false">-(1/($D$53+$E$53*LN(T12)+$F$53*LN(T12)^3)-273.15-C12)</f>
        <v>-0.465223181239651</v>
      </c>
      <c r="AA12" s="48" t="n">
        <f aca="false">-(1/($D$53+$E$53*LN(U12)+$F$53*LN(U12)^3)-273.15-C12)</f>
        <v>0.540404670207465</v>
      </c>
    </row>
    <row r="13" customFormat="false" ht="12.75" hidden="false" customHeight="false" outlineLevel="0" collapsed="false">
      <c r="C13" s="26" t="n">
        <f aca="false">Accuracy!F12</f>
        <v>0</v>
      </c>
      <c r="D13" s="26" t="n">
        <f aca="false">Accuracy!G12</f>
        <v>27280</v>
      </c>
      <c r="G13" s="46" t="n">
        <f aca="false">1/($D$53+$E$53*LN(D13)+$F$53*LN(D13)^3)-273.15</f>
        <v>-0.0499611183703905</v>
      </c>
      <c r="H13" s="47" t="n">
        <f aca="false">0</f>
        <v>0</v>
      </c>
      <c r="I13" s="48" t="n">
        <f aca="false">G13-C13</f>
        <v>-0.0499611183703905</v>
      </c>
      <c r="K13" s="0" t="n">
        <f aca="false">LN(D13/$D$18)*(C13+273.15)*($C$18+273.15)/($C$18-C13)</f>
        <v>3269.21238061231</v>
      </c>
      <c r="L13" s="0" t="n">
        <f aca="false">$D$18*EXP(K13*($C$18-C13)/(($C$18+273.15)*(C13+273.15)))</f>
        <v>27280</v>
      </c>
      <c r="O13" s="49" t="n">
        <f aca="false">$D$18*(1-Accuracy!$D$7)*EXP(K13*(1-Accuracy!$D$9)*($C$18-C13)/(($C$18+273.15)*(C13+273.15)))</f>
        <v>26737.5196604499</v>
      </c>
      <c r="P13" s="49" t="n">
        <f aca="false">$D$18*(1-Accuracy!$D$7)*EXP(K13*(1+Accuracy!$D$9)*($C$18-C13)/(($C$18+273.15)*(C13+273.15)))</f>
        <v>27279.6003931102</v>
      </c>
      <c r="Q13" s="49" t="n">
        <f aca="false">$D$18*(1+Accuracy!$D$7)*EXP(K13*(1-Accuracy!$D$9)*($C$18-C13)/(($C$18+273.15)*(C13+273.15)))</f>
        <v>27277.6715727822</v>
      </c>
      <c r="R13" s="49" t="n">
        <f aca="false">$D$18*(1+Accuracy!$D$7)*EXP(K13*(1+Accuracy!$D$9)*($C$18-C13)/(($C$18+273.15)*(C13+273.15)))</f>
        <v>27830.7034313548</v>
      </c>
      <c r="T13" s="49" t="n">
        <f aca="false">MIN(O13:R13)</f>
        <v>26737.5196604499</v>
      </c>
      <c r="U13" s="49" t="n">
        <f aca="false">MAX(O13:R13)</f>
        <v>27830.7034313548</v>
      </c>
      <c r="V13" s="49"/>
      <c r="W13" s="50" t="n">
        <f aca="false">T13/D13-1</f>
        <v>-0.0198856429453848</v>
      </c>
      <c r="X13" s="50" t="n">
        <f aca="false">U13/D13-1</f>
        <v>0.0201870759294291</v>
      </c>
      <c r="Y13" s="50"/>
      <c r="Z13" s="48" t="n">
        <f aca="false">-(1/($D$53+$E$53*LN(T13)+$F$53*LN(T13)^3)-273.15-C13)</f>
        <v>-0.41857515211359</v>
      </c>
      <c r="AA13" s="48" t="n">
        <f aca="false">-(1/($D$53+$E$53*LN(U13)+$F$53*LN(U13)^3)-273.15-C13)</f>
        <v>0.514929388267092</v>
      </c>
    </row>
    <row r="14" customFormat="false" ht="12.75" hidden="false" customHeight="false" outlineLevel="0" collapsed="false">
      <c r="C14" s="26" t="n">
        <f aca="false">Accuracy!F13</f>
        <v>5</v>
      </c>
      <c r="D14" s="26" t="n">
        <f aca="false">Accuracy!G13</f>
        <v>22050</v>
      </c>
      <c r="G14" s="46" t="n">
        <f aca="false">1/($D$53+$E$53*LN(D14)+$F$53*LN(D14)^3)-273.15</f>
        <v>4.97920222217931</v>
      </c>
      <c r="H14" s="47" t="n">
        <f aca="false">(G14)/(C14)-1</f>
        <v>-0.00415955556413794</v>
      </c>
      <c r="I14" s="48" t="n">
        <f aca="false">G14-C14</f>
        <v>-0.0207977778206896</v>
      </c>
      <c r="K14" s="0" t="n">
        <f aca="false">LN(D14/$D$18)*(C14+273.15)*($C$18+273.15)/($C$18-C14)</f>
        <v>3278.76831976754</v>
      </c>
      <c r="L14" s="0" t="n">
        <f aca="false">$D$18*EXP(K14*($C$18-C14)/(($C$18+273.15)*(C14+273.15)))</f>
        <v>22050</v>
      </c>
      <c r="O14" s="49" t="n">
        <f aca="false">$D$18*(1-Accuracy!$D$7)*EXP(K14*(1-Accuracy!$D$9)*($C$18-C14)/(($C$18+273.15)*(C14+273.15)))</f>
        <v>21657.5687879722</v>
      </c>
      <c r="P14" s="49" t="n">
        <f aca="false">$D$18*(1-Accuracy!$D$7)*EXP(K14*(1+Accuracy!$D$9)*($C$18-C14)/(($C$18+273.15)*(C14+273.15)))</f>
        <v>22002.7961086124</v>
      </c>
      <c r="Q14" s="49" t="n">
        <f aca="false">$D$18*(1+Accuracy!$D$7)*EXP(K14*(1-Accuracy!$D$9)*($C$18-C14)/(($C$18+273.15)*(C14+273.15)))</f>
        <v>22095.0954301534</v>
      </c>
      <c r="R14" s="49" t="n">
        <f aca="false">$D$18*(1+Accuracy!$D$7)*EXP(K14*(1+Accuracy!$D$9)*($C$18-C14)/(($C$18+273.15)*(C14+273.15)))</f>
        <v>22447.2970400995</v>
      </c>
      <c r="T14" s="49" t="n">
        <f aca="false">MIN(O14:R14)</f>
        <v>21657.5687879722</v>
      </c>
      <c r="U14" s="49" t="n">
        <f aca="false">MAX(O14:R14)</f>
        <v>22447.2970400995</v>
      </c>
      <c r="V14" s="49"/>
      <c r="W14" s="50" t="n">
        <f aca="false">T14/D14-1</f>
        <v>-0.0177973338788123</v>
      </c>
      <c r="X14" s="50" t="n">
        <f aca="false">U14/D14-1</f>
        <v>0.0180180063537201</v>
      </c>
      <c r="Y14" s="50"/>
      <c r="Z14" s="48" t="n">
        <f aca="false">-(1/($D$53+$E$53*LN(T14)+$F$53*LN(T14)^3)-273.15-C14)</f>
        <v>-0.410113525423185</v>
      </c>
      <c r="AA14" s="48" t="n">
        <f aca="false">-(1/($D$53+$E$53*LN(U14)+$F$53*LN(U14)^3)-273.15-C14)</f>
        <v>0.448277332773216</v>
      </c>
    </row>
    <row r="15" customFormat="false" ht="12.75" hidden="false" customHeight="false" outlineLevel="0" collapsed="false">
      <c r="C15" s="26" t="n">
        <f aca="false">Accuracy!F14</f>
        <v>10</v>
      </c>
      <c r="D15" s="26" t="n">
        <f aca="false">Accuracy!G14</f>
        <v>17960</v>
      </c>
      <c r="G15" s="46" t="n">
        <f aca="false">1/($D$53+$E$53*LN(D15)+$F$53*LN(D15)^3)-273.15</f>
        <v>9.96533854884223</v>
      </c>
      <c r="H15" s="47" t="n">
        <f aca="false">(G15)/(C15)-1</f>
        <v>-0.00346614511577736</v>
      </c>
      <c r="I15" s="48" t="n">
        <f aca="false">G15-C15</f>
        <v>-0.0346614511577741</v>
      </c>
      <c r="K15" s="0" t="n">
        <f aca="false">LN(D15/$D$18)*(C15+273.15)*($C$18+273.15)/($C$18-C15)</f>
        <v>3295.588537912</v>
      </c>
      <c r="L15" s="0" t="n">
        <f aca="false">$D$18*EXP(K15*($C$18-C15)/(($C$18+273.15)*(C15+273.15)))</f>
        <v>17960</v>
      </c>
      <c r="O15" s="49" t="n">
        <f aca="false">$D$18*(1-Accuracy!$D$7)*EXP(K15*(1-Accuracy!$D$9)*($C$18-C15)/(($C$18+273.15)*(C15+273.15)))</f>
        <v>17676.5889750737</v>
      </c>
      <c r="P15" s="49" t="n">
        <f aca="false">$D$18*(1-Accuracy!$D$7)*EXP(K15*(1+Accuracy!$D$9)*($C$18-C15)/(($C$18+273.15)*(C15+273.15)))</f>
        <v>17884.8206860386</v>
      </c>
      <c r="Q15" s="49" t="n">
        <f aca="false">$D$18*(1+Accuracy!$D$7)*EXP(K15*(1-Accuracy!$D$9)*($C$18-C15)/(($C$18+273.15)*(C15+273.15)))</f>
        <v>18033.6917826509</v>
      </c>
      <c r="R15" s="49" t="n">
        <f aca="false">$D$18*(1+Accuracy!$D$7)*EXP(K15*(1+Accuracy!$D$9)*($C$18-C15)/(($C$18+273.15)*(C15+273.15)))</f>
        <v>18246.1301948475</v>
      </c>
      <c r="T15" s="49" t="n">
        <f aca="false">MIN(O15:R15)</f>
        <v>17676.5889750737</v>
      </c>
      <c r="U15" s="49" t="n">
        <f aca="false">MAX(O15:R15)</f>
        <v>18246.1301948475</v>
      </c>
      <c r="V15" s="49"/>
      <c r="W15" s="50" t="n">
        <f aca="false">T15/D15-1</f>
        <v>-0.0157801238823116</v>
      </c>
      <c r="X15" s="50" t="n">
        <f aca="false">U15/D15-1</f>
        <v>0.0159315253255834</v>
      </c>
      <c r="Y15" s="50"/>
      <c r="Z15" s="48" t="n">
        <f aca="false">-(1/($D$53+$E$53*LN(T15)+$F$53*LN(T15)^3)-273.15-C15)</f>
        <v>-0.357751679739806</v>
      </c>
      <c r="AA15" s="48" t="n">
        <f aca="false">-(1/($D$53+$E$53*LN(U15)+$F$53*LN(U15)^3)-273.15-C15)</f>
        <v>0.423761921511016</v>
      </c>
    </row>
    <row r="16" customFormat="false" ht="12.75" hidden="false" customHeight="false" outlineLevel="0" collapsed="false">
      <c r="C16" s="26" t="n">
        <f aca="false">Accuracy!F15</f>
        <v>15</v>
      </c>
      <c r="D16" s="26" t="n">
        <f aca="false">Accuracy!G15</f>
        <v>14690</v>
      </c>
      <c r="G16" s="46" t="n">
        <f aca="false">1/($D$53+$E$53*LN(D16)+$F$53*LN(D16)^3)-273.15</f>
        <v>14.9874272356823</v>
      </c>
      <c r="H16" s="47" t="n">
        <f aca="false">(G16)/(C16)-1</f>
        <v>-0.000838184287844546</v>
      </c>
      <c r="I16" s="48" t="n">
        <f aca="false">G16-C16</f>
        <v>-0.0125727643176674</v>
      </c>
      <c r="K16" s="0" t="n">
        <f aca="false">LN(D16/$D$18)*(C16+273.15)*($C$18+273.15)/($C$18-C16)</f>
        <v>3304.01701464398</v>
      </c>
      <c r="L16" s="0" t="n">
        <f aca="false">$D$18*EXP(K16*($C$18-C16)/(($C$18+273.15)*(C16+273.15)))</f>
        <v>14690</v>
      </c>
      <c r="O16" s="49" t="n">
        <f aca="false">$D$18*(1-Accuracy!$D$7)*EXP(K16*(1-Accuracy!$D$9)*($C$18-C16)/(($C$18+273.15)*(C16+273.15)))</f>
        <v>14487.2772809485</v>
      </c>
      <c r="P16" s="49" t="n">
        <f aca="false">$D$18*(1-Accuracy!$D$7)*EXP(K16*(1+Accuracy!$D$9)*($C$18-C16)/(($C$18+273.15)*(C16+273.15)))</f>
        <v>14599.1378164713</v>
      </c>
      <c r="Q16" s="49" t="n">
        <f aca="false">$D$18*(1+Accuracy!$D$7)*EXP(K16*(1-Accuracy!$D$9)*($C$18-C16)/(($C$18+273.15)*(C16+273.15)))</f>
        <v>14779.9495492505</v>
      </c>
      <c r="R16" s="49" t="n">
        <f aca="false">$D$18*(1+Accuracy!$D$7)*EXP(K16*(1+Accuracy!$D$9)*($C$18-C16)/(($C$18+273.15)*(C16+273.15)))</f>
        <v>14894.0698935717</v>
      </c>
      <c r="T16" s="49" t="n">
        <f aca="false">MIN(O16:R16)</f>
        <v>14487.2772809485</v>
      </c>
      <c r="U16" s="49" t="n">
        <f aca="false">MAX(O16:R16)</f>
        <v>14894.0698935717</v>
      </c>
      <c r="V16" s="49"/>
      <c r="W16" s="50" t="n">
        <f aca="false">T16/D16-1</f>
        <v>-0.0138000489483666</v>
      </c>
      <c r="X16" s="50" t="n">
        <f aca="false">U16/D16-1</f>
        <v>0.0138917558592024</v>
      </c>
      <c r="Y16" s="50"/>
      <c r="Z16" s="48" t="n">
        <f aca="false">-(1/($D$53+$E$53*LN(T16)+$F$53*LN(T16)^3)-273.15-C16)</f>
        <v>-0.339856538268236</v>
      </c>
      <c r="AA16" s="48" t="n">
        <f aca="false">-(1/($D$53+$E$53*LN(U16)+$F$53*LN(U16)^3)-273.15-C16)</f>
        <v>0.361792258483717</v>
      </c>
    </row>
    <row r="17" customFormat="false" ht="12.75" hidden="false" customHeight="false" outlineLevel="0" collapsed="false">
      <c r="C17" s="26" t="n">
        <f aca="false">Accuracy!F16</f>
        <v>20</v>
      </c>
      <c r="D17" s="26" t="n">
        <f aca="false">Accuracy!G16</f>
        <v>12090</v>
      </c>
      <c r="G17" s="46" t="n">
        <f aca="false">1/($D$53+$E$53*LN(D17)+$F$53*LN(D17)^3)-273.15</f>
        <v>19.9906686647828</v>
      </c>
      <c r="H17" s="47" t="n">
        <f aca="false">(G17)/(C17)-1</f>
        <v>-0.000466566760860543</v>
      </c>
      <c r="I17" s="48" t="n">
        <f aca="false">G17-C17</f>
        <v>-0.00933133521721175</v>
      </c>
      <c r="K17" s="0" t="n">
        <f aca="false">LN(D17/$D$18)*(C17+273.15)*($C$18+273.15)/($C$18-C17)</f>
        <v>3317.69307680286</v>
      </c>
      <c r="L17" s="0" t="n">
        <f aca="false">$D$18*EXP(K17*($C$18-C17)/(($C$18+273.15)*(C17+273.15)))</f>
        <v>12090</v>
      </c>
      <c r="O17" s="49" t="n">
        <f aca="false">$D$18*(1-Accuracy!$D$7)*EXP(K17*(1-Accuracy!$D$9)*($C$18-C17)/(($C$18+273.15)*(C17+273.15)))</f>
        <v>11946.4049612926</v>
      </c>
      <c r="P17" s="49" t="n">
        <f aca="false">$D$18*(1-Accuracy!$D$7)*EXP(K17*(1+Accuracy!$D$9)*($C$18-C17)/(($C$18+273.15)*(C17+273.15)))</f>
        <v>11991.8381533334</v>
      </c>
      <c r="Q17" s="49" t="n">
        <f aca="false">$D$18*(1+Accuracy!$D$7)*EXP(K17*(1-Accuracy!$D$9)*($C$18-C17)/(($C$18+273.15)*(C17+273.15)))</f>
        <v>12187.7464756621</v>
      </c>
      <c r="R17" s="49" t="n">
        <f aca="false">$D$18*(1+Accuracy!$D$7)*EXP(K17*(1+Accuracy!$D$9)*($C$18-C17)/(($C$18+273.15)*(C17+273.15)))</f>
        <v>12234.0975099664</v>
      </c>
      <c r="T17" s="49" t="n">
        <f aca="false">MIN(O17:R17)</f>
        <v>11946.4049612926</v>
      </c>
      <c r="U17" s="49" t="n">
        <f aca="false">MAX(O17:R17)</f>
        <v>12234.0975099664</v>
      </c>
      <c r="V17" s="49"/>
      <c r="W17" s="50" t="n">
        <f aca="false">T17/D17-1</f>
        <v>-0.0118771744174866</v>
      </c>
      <c r="X17" s="50" t="n">
        <f aca="false">U17/D17-1</f>
        <v>0.0119187353156669</v>
      </c>
      <c r="Y17" s="50"/>
      <c r="Z17" s="48" t="n">
        <f aca="false">-(1/($D$53+$E$53*LN(T17)+$F$53*LN(T17)^3)-273.15-C17)</f>
        <v>-0.302053252948667</v>
      </c>
      <c r="AA17" s="48" t="n">
        <f aca="false">-(1/($D$53+$E$53*LN(U17)+$F$53*LN(U17)^3)-273.15-C17)</f>
        <v>0.31759051170053</v>
      </c>
    </row>
    <row r="18" customFormat="false" ht="12.75" hidden="false" customHeight="false" outlineLevel="0" collapsed="false">
      <c r="C18" s="26" t="n">
        <f aca="false">Accuracy!F17</f>
        <v>25</v>
      </c>
      <c r="D18" s="26" t="n">
        <f aca="false">Accuracy!G17</f>
        <v>10000</v>
      </c>
      <c r="G18" s="46" t="n">
        <f aca="false">1/($D$53+$E$53*LN(D18)+$F$53*LN(D18)^3)-273.15</f>
        <v>25</v>
      </c>
      <c r="H18" s="47" t="n">
        <f aca="false">(G18)/(C18)-1</f>
        <v>0</v>
      </c>
      <c r="I18" s="48" t="n">
        <f aca="false">G18-C18</f>
        <v>0</v>
      </c>
      <c r="K18" s="0" t="n">
        <f aca="false">(K19-K17)/2+K17</f>
        <v>3328.82552987186</v>
      </c>
      <c r="L18" s="0" t="n">
        <f aca="false">$D$18*EXP(K18*($C$18-C18)/(($C$18+273.15)*(C18+273.15)))</f>
        <v>10000</v>
      </c>
      <c r="O18" s="49" t="n">
        <f aca="false">$D$18*(1-Accuracy!$D$7)*EXP(K18*(1-Accuracy!$D$9)*($C$18-C18)/(($C$18+273.15)*(C18+273.15)))</f>
        <v>9900</v>
      </c>
      <c r="P18" s="49" t="n">
        <f aca="false">$D$18*(1-Accuracy!$D$7)*EXP(K18*(1+Accuracy!$D$9)*($C$18-C18)/(($C$18+273.15)*(C18+273.15)))</f>
        <v>9900</v>
      </c>
      <c r="Q18" s="49" t="n">
        <f aca="false">$D$18*(1+Accuracy!$D$7)*EXP(K18*(1-Accuracy!$D$9)*($C$18-C18)/(($C$18+273.15)*(C18+273.15)))</f>
        <v>10100</v>
      </c>
      <c r="R18" s="49" t="n">
        <f aca="false">$D$18*(1+Accuracy!$D$7)*EXP(K18*(1+Accuracy!$D$9)*($C$18-C18)/(($C$18+273.15)*(C18+273.15)))</f>
        <v>10100</v>
      </c>
      <c r="T18" s="49" t="n">
        <f aca="false">MIN(O18:R18)</f>
        <v>9900</v>
      </c>
      <c r="U18" s="49" t="n">
        <f aca="false">MAX(O18:R18)</f>
        <v>10100</v>
      </c>
      <c r="V18" s="49"/>
      <c r="W18" s="50" t="n">
        <f aca="false">T18/D18-1</f>
        <v>-0.01</v>
      </c>
      <c r="X18" s="50" t="n">
        <f aca="false">U18/D18-1</f>
        <v>0.01</v>
      </c>
      <c r="Y18" s="50"/>
      <c r="Z18" s="48" t="n">
        <f aca="false">-(1/($D$53+$E$53*LN(T18)+$F$53*LN(T18)^3)-273.15-C18)</f>
        <v>-0.26907354775426</v>
      </c>
      <c r="AA18" s="48" t="n">
        <f aca="false">-(1/($D$53+$E$53*LN(U18)+$F$53*LN(U18)^3)-273.15-C18)</f>
        <v>0.266013534295723</v>
      </c>
    </row>
    <row r="19" customFormat="false" ht="12.75" hidden="false" customHeight="false" outlineLevel="0" collapsed="false">
      <c r="C19" s="26" t="n">
        <f aca="false">Accuracy!F18</f>
        <v>30</v>
      </c>
      <c r="D19" s="26" t="n">
        <f aca="false">Accuracy!G18</f>
        <v>8313</v>
      </c>
      <c r="G19" s="46" t="n">
        <f aca="false">1/($D$53+$E$53*LN(D19)+$F$53*LN(D19)^3)-273.15</f>
        <v>30.0096259646854</v>
      </c>
      <c r="H19" s="47" t="n">
        <f aca="false">(G19)/(C19)-1</f>
        <v>0.000320865489514155</v>
      </c>
      <c r="I19" s="48" t="n">
        <f aca="false">G19-C19</f>
        <v>0.00962596468542643</v>
      </c>
      <c r="K19" s="0" t="n">
        <f aca="false">LN(D19/$D$18)*(C19+273.15)*($C$18+273.15)/($C$18-C19)</f>
        <v>3339.95798294086</v>
      </c>
      <c r="L19" s="0" t="n">
        <f aca="false">$D$18*EXP(K19*($C$18-C19)/(($C$18+273.15)*(C19+273.15)))</f>
        <v>8313</v>
      </c>
      <c r="O19" s="49" t="n">
        <f aca="false">$D$18*(1-Accuracy!$D$7)*EXP(K19*(1-Accuracy!$D$9)*($C$18-C19)/(($C$18+273.15)*(C19+273.15)))</f>
        <v>8245.08993751397</v>
      </c>
      <c r="P19" s="49" t="n">
        <f aca="false">$D$18*(1-Accuracy!$D$7)*EXP(K19*(1+Accuracy!$D$9)*($C$18-C19)/(($C$18+273.15)*(C19+273.15)))</f>
        <v>8214.67815757046</v>
      </c>
      <c r="Q19" s="49" t="n">
        <f aca="false">$D$18*(1+Accuracy!$D$7)*EXP(K19*(1-Accuracy!$D$9)*($C$18-C19)/(($C$18+273.15)*(C19+273.15)))</f>
        <v>8411.6574109991</v>
      </c>
      <c r="R19" s="49" t="n">
        <f aca="false">$D$18*(1+Accuracy!$D$7)*EXP(K19*(1+Accuracy!$D$9)*($C$18-C19)/(($C$18+273.15)*(C19+273.15)))</f>
        <v>8380.63125166279</v>
      </c>
      <c r="T19" s="49" t="n">
        <f aca="false">MIN(O19:R19)</f>
        <v>8214.67815757046</v>
      </c>
      <c r="U19" s="49" t="n">
        <f aca="false">MAX(O19:R19)</f>
        <v>8411.6574109991</v>
      </c>
      <c r="V19" s="49"/>
      <c r="W19" s="50" t="n">
        <f aca="false">T19/D19-1</f>
        <v>-0.0118274801430941</v>
      </c>
      <c r="X19" s="50" t="n">
        <f aca="false">U19/D19-1</f>
        <v>0.0118678468662461</v>
      </c>
      <c r="Y19" s="50"/>
      <c r="Z19" s="48" t="n">
        <f aca="false">-(1/($D$53+$E$53*LN(T19)+$F$53*LN(T19)^3)-273.15-C19)</f>
        <v>-0.33685545683511</v>
      </c>
      <c r="AA19" s="48" t="n">
        <f aca="false">-(1/($D$53+$E$53*LN(U19)+$F$53*LN(U19)^3)-273.15-C19)</f>
        <v>0.314292157594821</v>
      </c>
    </row>
    <row r="20" customFormat="false" ht="12.75" hidden="false" customHeight="false" outlineLevel="0" collapsed="false">
      <c r="C20" s="26" t="n">
        <f aca="false">Accuracy!F19</f>
        <v>35</v>
      </c>
      <c r="D20" s="26" t="n">
        <f aca="false">Accuracy!G19</f>
        <v>6940</v>
      </c>
      <c r="G20" s="46" t="n">
        <f aca="false">1/($D$53+$E$53*LN(D20)+$F$53*LN(D20)^3)-273.15</f>
        <v>35.0364248622151</v>
      </c>
      <c r="H20" s="47" t="n">
        <f aca="false">(G20)/(C20)-1</f>
        <v>0.00104071034900244</v>
      </c>
      <c r="I20" s="48" t="n">
        <f aca="false">G20-C20</f>
        <v>0.0364248622150853</v>
      </c>
      <c r="K20" s="0" t="n">
        <f aca="false">LN(D20/$D$18)*(C20+273.15)*($C$18+273.15)/($C$18-C20)</f>
        <v>3356.0376575464</v>
      </c>
      <c r="L20" s="0" t="n">
        <f aca="false">$D$18*EXP(K20*($C$18-C20)/(($C$18+273.15)*(C20+273.15)))</f>
        <v>6940</v>
      </c>
      <c r="O20" s="49" t="n">
        <f aca="false">$D$18*(1-Accuracy!$D$7)*EXP(K20*(1-Accuracy!$D$9)*($C$18-C20)/(($C$18+273.15)*(C20+273.15)))</f>
        <v>6895.74304940441</v>
      </c>
      <c r="P20" s="49" t="n">
        <f aca="false">$D$18*(1-Accuracy!$D$7)*EXP(K20*(1+Accuracy!$D$9)*($C$18-C20)/(($C$18+273.15)*(C20+273.15)))</f>
        <v>6845.54862642063</v>
      </c>
      <c r="Q20" s="49" t="n">
        <f aca="false">$D$18*(1+Accuracy!$D$7)*EXP(K20*(1-Accuracy!$D$9)*($C$18-C20)/(($C$18+273.15)*(C20+273.15)))</f>
        <v>7035.05098979642</v>
      </c>
      <c r="R20" s="49" t="n">
        <f aca="false">$D$18*(1+Accuracy!$D$7)*EXP(K20*(1+Accuracy!$D$9)*($C$18-C20)/(($C$18+273.15)*(C20+273.15)))</f>
        <v>6983.84253806549</v>
      </c>
      <c r="T20" s="49" t="n">
        <f aca="false">MIN(O20:R20)</f>
        <v>6845.54862642063</v>
      </c>
      <c r="U20" s="49" t="n">
        <f aca="false">MAX(O20:R20)</f>
        <v>7035.05098979642</v>
      </c>
      <c r="V20" s="49"/>
      <c r="W20" s="50" t="n">
        <f aca="false">T20/D20-1</f>
        <v>-0.0136097080085544</v>
      </c>
      <c r="X20" s="50" t="n">
        <f aca="false">U20/D20-1</f>
        <v>0.0136961080398301</v>
      </c>
      <c r="Y20" s="50"/>
      <c r="Z20" s="48" t="n">
        <f aca="false">-(1/($D$53+$E$53*LN(T20)+$F$53*LN(T20)^3)-273.15-C20)</f>
        <v>-0.423507971494928</v>
      </c>
      <c r="AA20" s="48" t="n">
        <f aca="false">-(1/($D$53+$E$53*LN(U20)+$F$53*LN(U20)^3)-273.15-C20)</f>
        <v>0.347055739145674</v>
      </c>
    </row>
    <row r="21" customFormat="false" ht="12.75" hidden="false" customHeight="false" outlineLevel="0" collapsed="false">
      <c r="C21" s="26" t="n">
        <f aca="false">Accuracy!F20</f>
        <v>40</v>
      </c>
      <c r="D21" s="26" t="n">
        <f aca="false">Accuracy!G20</f>
        <v>5827</v>
      </c>
      <c r="G21" s="46" t="n">
        <f aca="false">1/($D$53+$E$53*LN(D21)+$F$53*LN(D21)^3)-273.15</f>
        <v>40.0339480207969</v>
      </c>
      <c r="H21" s="47" t="n">
        <f aca="false">(G21)/(C21)-1</f>
        <v>0.000848700519921364</v>
      </c>
      <c r="I21" s="48" t="n">
        <f aca="false">G21-C21</f>
        <v>0.0339480207968563</v>
      </c>
      <c r="K21" s="0" t="n">
        <f aca="false">LN(D21/$D$18)*(C21+273.15)*($C$18+273.15)/($C$18-C21)</f>
        <v>3361.6796185953</v>
      </c>
      <c r="L21" s="0" t="n">
        <f aca="false">$D$18*EXP(K21*($C$18-C21)/(($C$18+273.15)*(C21+273.15)))</f>
        <v>5827</v>
      </c>
      <c r="O21" s="49" t="n">
        <f aca="false">$D$18*(1-Accuracy!$D$7)*EXP(K21*(1-Accuracy!$D$9)*($C$18-C21)/(($C$18+273.15)*(C21+273.15)))</f>
        <v>5799.97020433621</v>
      </c>
      <c r="P21" s="49" t="n">
        <f aca="false">$D$18*(1-Accuracy!$D$7)*EXP(K21*(1+Accuracy!$D$9)*($C$18-C21)/(($C$18+273.15)*(C21+273.15)))</f>
        <v>5737.65806383286</v>
      </c>
      <c r="Q21" s="49" t="n">
        <f aca="false">$D$18*(1+Accuracy!$D$7)*EXP(K21*(1-Accuracy!$D$9)*($C$18-C21)/(($C$18+273.15)*(C21+273.15)))</f>
        <v>5917.14131957533</v>
      </c>
      <c r="R21" s="49" t="n">
        <f aca="false">$D$18*(1+Accuracy!$D$7)*EXP(K21*(1+Accuracy!$D$9)*($C$18-C21)/(($C$18+273.15)*(C21+273.15)))</f>
        <v>5853.5703479507</v>
      </c>
      <c r="T21" s="49" t="n">
        <f aca="false">MIN(O21:R21)</f>
        <v>5737.65806383286</v>
      </c>
      <c r="U21" s="49" t="n">
        <f aca="false">MAX(O21:R21)</f>
        <v>5917.14131957533</v>
      </c>
      <c r="V21" s="49"/>
      <c r="W21" s="50" t="n">
        <f aca="false">T21/D21-1</f>
        <v>-0.0153324070992173</v>
      </c>
      <c r="X21" s="50" t="n">
        <f aca="false">U21/D21-1</f>
        <v>0.0154695931998161</v>
      </c>
      <c r="Y21" s="50"/>
      <c r="Z21" s="48" t="n">
        <f aca="false">-(1/($D$53+$E$53*LN(T21)+$F$53*LN(T21)^3)-273.15-C21)</f>
        <v>-0.48203235962211</v>
      </c>
      <c r="AA21" s="48" t="n">
        <f aca="false">-(1/($D$53+$E$53*LN(U21)+$F$53*LN(U21)^3)-273.15-C21)</f>
        <v>0.410204130616478</v>
      </c>
    </row>
    <row r="22" customFormat="false" ht="12.75" hidden="false" customHeight="false" outlineLevel="0" collapsed="false">
      <c r="C22" s="26" t="n">
        <f aca="false">Accuracy!F21</f>
        <v>45</v>
      </c>
      <c r="D22" s="26" t="n">
        <f aca="false">Accuracy!G21</f>
        <v>4911</v>
      </c>
      <c r="G22" s="46" t="n">
        <f aca="false">1/($D$53+$E$53*LN(D22)+$F$53*LN(D22)^3)-273.15</f>
        <v>45.0526231497643</v>
      </c>
      <c r="H22" s="47" t="n">
        <f aca="false">(G22)/(C22)-1</f>
        <v>0.00116940332809468</v>
      </c>
      <c r="I22" s="48" t="n">
        <f aca="false">G22-C22</f>
        <v>0.0526231497642584</v>
      </c>
      <c r="K22" s="0" t="n">
        <f aca="false">LN(D22/$D$18)*(C22+273.15)*($C$18+273.15)/($C$18-C22)</f>
        <v>3372.65570130377</v>
      </c>
      <c r="L22" s="0" t="n">
        <f aca="false">$D$18*EXP(K22*($C$18-C22)/(($C$18+273.15)*(C22+273.15)))</f>
        <v>4911</v>
      </c>
      <c r="O22" s="49" t="n">
        <f aca="false">$D$18*(1-Accuracy!$D$7)*EXP(K22*(1-Accuracy!$D$9)*($C$18-C22)/(($C$18+273.15)*(C22+273.15)))</f>
        <v>4896.58648315933</v>
      </c>
      <c r="P22" s="49" t="n">
        <f aca="false">$D$18*(1-Accuracy!$D$7)*EXP(K22*(1+Accuracy!$D$9)*($C$18-C22)/(($C$18+273.15)*(C22+273.15)))</f>
        <v>4827.43937095716</v>
      </c>
      <c r="Q22" s="49" t="n">
        <f aca="false">$D$18*(1+Accuracy!$D$7)*EXP(K22*(1-Accuracy!$D$9)*($C$18-C22)/(($C$18+273.15)*(C22+273.15)))</f>
        <v>4995.50742221305</v>
      </c>
      <c r="R22" s="49" t="n">
        <f aca="false">$D$18*(1+Accuracy!$D$7)*EXP(K22*(1+Accuracy!$D$9)*($C$18-C22)/(($C$18+273.15)*(C22+273.15)))</f>
        <v>4924.96339865326</v>
      </c>
      <c r="T22" s="49" t="n">
        <f aca="false">MIN(O22:R22)</f>
        <v>4827.43937095716</v>
      </c>
      <c r="U22" s="49" t="n">
        <f aca="false">MAX(O22:R22)</f>
        <v>4995.50742221305</v>
      </c>
      <c r="V22" s="49"/>
      <c r="W22" s="50" t="n">
        <f aca="false">T22/D22-1</f>
        <v>-0.0170149926782409</v>
      </c>
      <c r="X22" s="50" t="n">
        <f aca="false">U22/D22-1</f>
        <v>0.0172077829796484</v>
      </c>
      <c r="Y22" s="50"/>
      <c r="Z22" s="48" t="n">
        <f aca="false">-(1/($D$53+$E$53*LN(T22)+$F$53*LN(T22)^3)-273.15-C22)</f>
        <v>-0.563476619179937</v>
      </c>
      <c r="AA22" s="48" t="n">
        <f aca="false">-(1/($D$53+$E$53*LN(U22)+$F$53*LN(U22)^3)-273.15-C22)</f>
        <v>0.453925067736236</v>
      </c>
    </row>
    <row r="23" customFormat="false" ht="12.75" hidden="false" customHeight="false" outlineLevel="0" collapsed="false">
      <c r="C23" s="26" t="n">
        <f aca="false">Accuracy!F22</f>
        <v>50</v>
      </c>
      <c r="D23" s="26" t="n">
        <f aca="false">Accuracy!G22</f>
        <v>4160</v>
      </c>
      <c r="G23" s="46" t="n">
        <f aca="false">1/($D$53+$E$53*LN(D23)+$F$53*LN(D23)^3)-273.15</f>
        <v>50.0499549248216</v>
      </c>
      <c r="H23" s="47" t="n">
        <f aca="false">(G23)/(C23)-1</f>
        <v>0.00099909849643165</v>
      </c>
      <c r="I23" s="48" t="n">
        <f aca="false">G23-C23</f>
        <v>0.0499549248215772</v>
      </c>
      <c r="K23" s="0" t="n">
        <f aca="false">LN(D23/$D$18)*(C23+273.15)*($C$18+273.15)/($C$18-C23)</f>
        <v>3380.12865553113</v>
      </c>
      <c r="L23" s="0" t="n">
        <f aca="false">$D$18*EXP(K23*($C$18-C23)/(($C$18+273.15)*(C23+273.15)))</f>
        <v>4160</v>
      </c>
      <c r="O23" s="49" t="n">
        <f aca="false">$D$18*(1-Accuracy!$D$7)*EXP(K23*(1-Accuracy!$D$9)*($C$18-C23)/(($C$18+273.15)*(C23+273.15)))</f>
        <v>4154.68012010817</v>
      </c>
      <c r="P23" s="49" t="n">
        <f aca="false">$D$18*(1-Accuracy!$D$7)*EXP(K23*(1+Accuracy!$D$9)*($C$18-C23)/(($C$18+273.15)*(C23+273.15)))</f>
        <v>4082.43669059133</v>
      </c>
      <c r="Q23" s="49" t="n">
        <f aca="false">$D$18*(1+Accuracy!$D$7)*EXP(K23*(1-Accuracy!$D$9)*($C$18-C23)/(($C$18+273.15)*(C23+273.15)))</f>
        <v>4238.61305182753</v>
      </c>
      <c r="R23" s="49" t="n">
        <f aca="false">$D$18*(1+Accuracy!$D$7)*EXP(K23*(1+Accuracy!$D$9)*($C$18-C23)/(($C$18+273.15)*(C23+273.15)))</f>
        <v>4164.91015908812</v>
      </c>
      <c r="T23" s="49" t="n">
        <f aca="false">MIN(O23:R23)</f>
        <v>4082.43669059133</v>
      </c>
      <c r="U23" s="49" t="n">
        <f aca="false">MAX(O23:R23)</f>
        <v>4238.61305182753</v>
      </c>
      <c r="V23" s="49"/>
      <c r="W23" s="50" t="n">
        <f aca="false">T23/D23-1</f>
        <v>-0.0186450263001614</v>
      </c>
      <c r="X23" s="50" t="n">
        <f aca="false">U23/D23-1</f>
        <v>0.018897368227772</v>
      </c>
      <c r="Y23" s="50"/>
      <c r="Z23" s="48" t="n">
        <f aca="false">-(1/($D$53+$E$53*LN(T23)+$F$53*LN(T23)^3)-273.15-C23)</f>
        <v>-0.624822142611549</v>
      </c>
      <c r="AA23" s="48" t="n">
        <f aca="false">-(1/($D$53+$E$53*LN(U23)+$F$53*LN(U23)^3)-273.15-C23)</f>
        <v>0.520192130719977</v>
      </c>
    </row>
    <row r="24" customFormat="false" ht="12.75" hidden="false" customHeight="false" outlineLevel="0" collapsed="false">
      <c r="C24" s="26" t="n">
        <f aca="false">Accuracy!F23</f>
        <v>55</v>
      </c>
      <c r="D24" s="26" t="n">
        <f aca="false">Accuracy!G23</f>
        <v>3536</v>
      </c>
      <c r="G24" s="46" t="n">
        <f aca="false">1/($D$53+$E$53*LN(D24)+$F$53*LN(D24)^3)-273.15</f>
        <v>55.0700983194802</v>
      </c>
      <c r="H24" s="47" t="n">
        <f aca="false">(G24)/(C24)-1</f>
        <v>0.00127451489964048</v>
      </c>
      <c r="I24" s="48" t="n">
        <f aca="false">G24-C24</f>
        <v>0.0700983194802234</v>
      </c>
      <c r="K24" s="0" t="n">
        <f aca="false">LN(D24/$D$18)*(C24+273.15)*($C$18+273.15)/($C$18-C24)</f>
        <v>3390.37409825576</v>
      </c>
      <c r="L24" s="0" t="n">
        <f aca="false">$D$18*EXP(K24*($C$18-C24)/(($C$18+273.15)*(C24+273.15)))</f>
        <v>3536</v>
      </c>
      <c r="O24" s="49" t="n">
        <f aca="false">$D$18*(1-Accuracy!$D$7)*EXP(K24*(1-Accuracy!$D$9)*($C$18-C24)/(($C$18+273.15)*(C24+273.15)))</f>
        <v>3537.22208876747</v>
      </c>
      <c r="P24" s="49" t="n">
        <f aca="false">$D$18*(1-Accuracy!$D$7)*EXP(K24*(1+Accuracy!$D$9)*($C$18-C24)/(($C$18+273.15)*(C24+273.15)))</f>
        <v>3464.43624462099</v>
      </c>
      <c r="Q24" s="49" t="n">
        <f aca="false">$D$18*(1+Accuracy!$D$7)*EXP(K24*(1-Accuracy!$D$9)*($C$18-C24)/(($C$18+273.15)*(C24+273.15)))</f>
        <v>3608.68112086379</v>
      </c>
      <c r="R24" s="49" t="n">
        <f aca="false">$D$18*(1+Accuracy!$D$7)*EXP(K24*(1+Accuracy!$D$9)*($C$18-C24)/(($C$18+273.15)*(C24+273.15)))</f>
        <v>3534.42485562343</v>
      </c>
      <c r="T24" s="49" t="n">
        <f aca="false">MIN(O24:R24)</f>
        <v>3464.43624462099</v>
      </c>
      <c r="U24" s="49" t="n">
        <f aca="false">MAX(O24:R24)</f>
        <v>3608.68112086379</v>
      </c>
      <c r="V24" s="49"/>
      <c r="W24" s="50" t="n">
        <f aca="false">T24/D24-1</f>
        <v>-0.0202386186026615</v>
      </c>
      <c r="X24" s="50" t="n">
        <f aca="false">U24/D24-1</f>
        <v>0.0205546156288989</v>
      </c>
      <c r="Y24" s="50"/>
      <c r="Z24" s="48" t="n">
        <f aca="false">-(1/($D$53+$E$53*LN(T24)+$F$53*LN(T24)^3)-273.15-C24)</f>
        <v>-0.710798453597931</v>
      </c>
      <c r="AA24" s="48" t="n">
        <f aca="false">-(1/($D$53+$E$53*LN(U24)+$F$53*LN(U24)^3)-273.15-C24)</f>
        <v>0.565419562687282</v>
      </c>
    </row>
    <row r="25" customFormat="false" ht="12.75" hidden="false" customHeight="false" outlineLevel="0" collapsed="false">
      <c r="C25" s="26" t="n">
        <f aca="false">Accuracy!F24</f>
        <v>60</v>
      </c>
      <c r="D25" s="26" t="n">
        <f aca="false">Accuracy!G24</f>
        <v>3020</v>
      </c>
      <c r="G25" s="46" t="n">
        <f aca="false">1/($D$53+$E$53*LN(D25)+$F$53*LN(D25)^3)-273.15</f>
        <v>60.0672581523403</v>
      </c>
      <c r="H25" s="47" t="n">
        <f aca="false">(G25)/(C25)-1</f>
        <v>0.0011209692056724</v>
      </c>
      <c r="I25" s="48" t="n">
        <f aca="false">G25-C25</f>
        <v>0.0672581523403437</v>
      </c>
      <c r="K25" s="0" t="n">
        <f aca="false">LN(D25/$D$18)*(C25+273.15)*($C$18+273.15)/($C$18-C25)</f>
        <v>3397.97219349093</v>
      </c>
      <c r="L25" s="0" t="n">
        <f aca="false">$D$18*EXP(K25*($C$18-C25)/(($C$18+273.15)*(C25+273.15)))</f>
        <v>3020</v>
      </c>
      <c r="O25" s="49" t="n">
        <f aca="false">$D$18*(1-Accuracy!$D$7)*EXP(K25*(1-Accuracy!$D$9)*($C$18-C25)/(($C$18+273.15)*(C25+273.15)))</f>
        <v>3025.81288636727</v>
      </c>
      <c r="P25" s="49" t="n">
        <f aca="false">$D$18*(1-Accuracy!$D$7)*EXP(K25*(1+Accuracy!$D$9)*($C$18-C25)/(($C$18+273.15)*(C25+273.15)))</f>
        <v>2954.21573497622</v>
      </c>
      <c r="Q25" s="49" t="n">
        <f aca="false">$D$18*(1+Accuracy!$D$7)*EXP(K25*(1-Accuracy!$D$9)*($C$18-C25)/(($C$18+273.15)*(C25+273.15)))</f>
        <v>3086.9404194252</v>
      </c>
      <c r="R25" s="49" t="n">
        <f aca="false">$D$18*(1+Accuracy!$D$7)*EXP(K25*(1+Accuracy!$D$9)*($C$18-C25)/(($C$18+273.15)*(C25+273.15)))</f>
        <v>3013.89686093533</v>
      </c>
      <c r="T25" s="49" t="n">
        <f aca="false">MIN(O25:R25)</f>
        <v>2954.21573497622</v>
      </c>
      <c r="U25" s="49" t="n">
        <f aca="false">MAX(O25:R25)</f>
        <v>3086.9404194252</v>
      </c>
      <c r="V25" s="49"/>
      <c r="W25" s="50" t="n">
        <f aca="false">T25/D25-1</f>
        <v>-0.0217828692131727</v>
      </c>
      <c r="X25" s="50" t="n">
        <f aca="false">U25/D25-1</f>
        <v>0.0221657017964227</v>
      </c>
      <c r="Y25" s="50"/>
      <c r="Z25" s="48" t="n">
        <f aca="false">-(1/($D$53+$E$53*LN(T25)+$F$53*LN(T25)^3)-273.15-C25)</f>
        <v>-0.775017885898762</v>
      </c>
      <c r="AA25" s="48" t="n">
        <f aca="false">-(1/($D$53+$E$53*LN(U25)+$F$53*LN(U25)^3)-273.15-C25)</f>
        <v>0.634812624362155</v>
      </c>
    </row>
    <row r="26" customFormat="false" ht="12.75" hidden="false" customHeight="false" outlineLevel="0" collapsed="false">
      <c r="C26" s="26" t="n">
        <f aca="false">Accuracy!F25</f>
        <v>65</v>
      </c>
      <c r="D26" s="26" t="n">
        <f aca="false">Accuracy!G25</f>
        <v>2588</v>
      </c>
      <c r="G26" s="46" t="n">
        <f aca="false">1/($D$53+$E$53*LN(D26)+$F$53*LN(D26)^3)-273.15</f>
        <v>65.0814856505274</v>
      </c>
      <c r="H26" s="47" t="n">
        <f aca="false">(G26)/(C26)-1</f>
        <v>0.00125362539272977</v>
      </c>
      <c r="I26" s="48" t="n">
        <f aca="false">G26-C26</f>
        <v>0.0814856505274406</v>
      </c>
      <c r="K26" s="0" t="n">
        <f aca="false">LN(D26/$D$18)*(C26+273.15)*($C$18+273.15)/($C$18-C26)</f>
        <v>3406.93961990911</v>
      </c>
      <c r="L26" s="0" t="n">
        <f aca="false">$D$18*EXP(K26*($C$18-C26)/(($C$18+273.15)*(C26+273.15)))</f>
        <v>2588</v>
      </c>
      <c r="O26" s="49" t="n">
        <f aca="false">$D$18*(1-Accuracy!$D$7)*EXP(K26*(1-Accuracy!$D$9)*($C$18-C26)/(($C$18+273.15)*(C26+273.15)))</f>
        <v>2596.98728841235</v>
      </c>
      <c r="P26" s="49" t="n">
        <f aca="false">$D$18*(1-Accuracy!$D$7)*EXP(K26*(1+Accuracy!$D$9)*($C$18-C26)/(($C$18+273.15)*(C26+273.15)))</f>
        <v>2527.72084164229</v>
      </c>
      <c r="Q26" s="49" t="n">
        <f aca="false">$D$18*(1+Accuracy!$D$7)*EXP(K26*(1-Accuracy!$D$9)*($C$18-C26)/(($C$18+273.15)*(C26+273.15)))</f>
        <v>2649.45167807725</v>
      </c>
      <c r="R26" s="49" t="n">
        <f aca="false">$D$18*(1+Accuracy!$D$7)*EXP(K26*(1+Accuracy!$D$9)*($C$18-C26)/(($C$18+273.15)*(C26+273.15)))</f>
        <v>2578.78590915021</v>
      </c>
      <c r="T26" s="49" t="n">
        <f aca="false">MIN(O26:R26)</f>
        <v>2527.72084164229</v>
      </c>
      <c r="U26" s="49" t="n">
        <f aca="false">MAX(O26:R26)</f>
        <v>2649.45167807725</v>
      </c>
      <c r="V26" s="49"/>
      <c r="W26" s="50" t="n">
        <f aca="false">T26/D26-1</f>
        <v>-0.0232917922556842</v>
      </c>
      <c r="X26" s="50" t="n">
        <f aca="false">U26/D26-1</f>
        <v>0.0237448524255213</v>
      </c>
      <c r="Y26" s="50"/>
      <c r="Z26" s="48" t="n">
        <f aca="false">-(1/($D$53+$E$53*LN(T26)+$F$53*LN(T26)^3)-273.15-C26)</f>
        <v>-0.858074493825882</v>
      </c>
      <c r="AA26" s="48" t="n">
        <f aca="false">-(1/($D$53+$E$53*LN(U26)+$F$53*LN(U26)^3)-273.15-C26)</f>
        <v>0.688857263515104</v>
      </c>
    </row>
    <row r="27" customFormat="false" ht="12.75" hidden="false" customHeight="false" outlineLevel="0" collapsed="false">
      <c r="C27" s="26" t="n">
        <f aca="false">Accuracy!F26</f>
        <v>70</v>
      </c>
      <c r="D27" s="26" t="n">
        <f aca="false">Accuracy!G26</f>
        <v>2228</v>
      </c>
      <c r="G27" s="46" t="n">
        <f aca="false">1/($D$53+$E$53*LN(D27)+$F$53*LN(D27)^3)-273.15</f>
        <v>70.0683605679557</v>
      </c>
      <c r="H27" s="47" t="n">
        <f aca="false">(G27)/(C27)-1</f>
        <v>0.000976579542224521</v>
      </c>
      <c r="I27" s="48" t="n">
        <f aca="false">G27-C27</f>
        <v>0.0683605679557218</v>
      </c>
      <c r="K27" s="0" t="n">
        <f aca="false">LN(D27/$D$18)*(C27+273.15)*($C$18+273.15)/($C$18-C27)</f>
        <v>3413.70570398177</v>
      </c>
      <c r="L27" s="0" t="n">
        <f aca="false">$D$18*EXP(K27*($C$18-C27)/(($C$18+273.15)*(C27+273.15)))</f>
        <v>2228</v>
      </c>
      <c r="O27" s="49" t="n">
        <f aca="false">$D$18*(1-Accuracy!$D$7)*EXP(K27*(1-Accuracy!$D$9)*($C$18-C27)/(($C$18+273.15)*(C27+273.15)))</f>
        <v>2239.08834440798</v>
      </c>
      <c r="P27" s="49" t="n">
        <f aca="false">$D$18*(1-Accuracy!$D$7)*EXP(K27*(1+Accuracy!$D$9)*($C$18-C27)/(($C$18+273.15)*(C27+273.15)))</f>
        <v>2172.84893226773</v>
      </c>
      <c r="Q27" s="49" t="n">
        <f aca="false">$D$18*(1+Accuracy!$D$7)*EXP(K27*(1-Accuracy!$D$9)*($C$18-C27)/(($C$18+273.15)*(C27+273.15)))</f>
        <v>2284.32245237582</v>
      </c>
      <c r="R27" s="49" t="n">
        <f aca="false">$D$18*(1+Accuracy!$D$7)*EXP(K27*(1+Accuracy!$D$9)*($C$18-C27)/(($C$18+273.15)*(C27+273.15)))</f>
        <v>2216.74487029334</v>
      </c>
      <c r="T27" s="49" t="n">
        <f aca="false">MIN(O27:R27)</f>
        <v>2172.84893226773</v>
      </c>
      <c r="U27" s="49" t="n">
        <f aca="false">MAX(O27:R27)</f>
        <v>2284.32245237582</v>
      </c>
      <c r="V27" s="49"/>
      <c r="W27" s="50" t="n">
        <f aca="false">T27/D27-1</f>
        <v>-0.0247536210647541</v>
      </c>
      <c r="X27" s="50" t="n">
        <f aca="false">U27/D27-1</f>
        <v>0.0252793771884294</v>
      </c>
      <c r="Y27" s="50"/>
      <c r="Z27" s="48" t="n">
        <f aca="false">-(1/($D$53+$E$53*LN(T27)+$F$53*LN(T27)^3)-273.15-C27)</f>
        <v>-0.914941444281283</v>
      </c>
      <c r="AA27" s="48" t="n">
        <f aca="false">-(1/($D$53+$E$53*LN(U27)+$F$53*LN(U27)^3)-273.15-C27)</f>
        <v>0.771370549704045</v>
      </c>
    </row>
    <row r="28" customFormat="false" ht="12.75" hidden="false" customHeight="false" outlineLevel="0" collapsed="false">
      <c r="C28" s="26" t="n">
        <f aca="false">Accuracy!F27</f>
        <v>75</v>
      </c>
      <c r="D28" s="26" t="n">
        <f aca="false">Accuracy!G27</f>
        <v>1924</v>
      </c>
      <c r="G28" s="46" t="n">
        <f aca="false">1/($D$53+$E$53*LN(D28)+$F$53*LN(D28)^3)-273.15</f>
        <v>75.0734761234491</v>
      </c>
      <c r="H28" s="47" t="n">
        <f aca="false">(G28)/(C28)-1</f>
        <v>0.00097968164598794</v>
      </c>
      <c r="I28" s="48" t="n">
        <f aca="false">G28-C28</f>
        <v>0.0734761234490975</v>
      </c>
      <c r="K28" s="0" t="n">
        <f aca="false">LN(D28/$D$18)*(C28+273.15)*($C$18+273.15)/($C$18-C28)</f>
        <v>3421.64947469587</v>
      </c>
      <c r="L28" s="0" t="n">
        <f aca="false">$D$18*EXP(K28*($C$18-C28)/(($C$18+273.15)*(C28+273.15)))</f>
        <v>1924</v>
      </c>
      <c r="O28" s="49" t="n">
        <f aca="false">$D$18*(1-Accuracy!$D$7)*EXP(K28*(1-Accuracy!$D$9)*($C$18-C28)/(($C$18+273.15)*(C28+273.15)))</f>
        <v>1936.41398998695</v>
      </c>
      <c r="P28" s="49" t="n">
        <f aca="false">$D$18*(1-Accuracy!$D$7)*EXP(K28*(1+Accuracy!$D$9)*($C$18-C28)/(($C$18+273.15)*(C28+273.15)))</f>
        <v>1873.6234484778</v>
      </c>
      <c r="Q28" s="49" t="n">
        <f aca="false">$D$18*(1+Accuracy!$D$7)*EXP(K28*(1-Accuracy!$D$9)*($C$18-C28)/(($C$18+273.15)*(C28+273.15)))</f>
        <v>1975.53346453214</v>
      </c>
      <c r="R28" s="49" t="n">
        <f aca="false">$D$18*(1+Accuracy!$D$7)*EXP(K28*(1+Accuracy!$D$9)*($C$18-C28)/(($C$18+273.15)*(C28+273.15)))</f>
        <v>1911.47442723492</v>
      </c>
      <c r="T28" s="49" t="n">
        <f aca="false">MIN(O28:R28)</f>
        <v>1873.6234484778</v>
      </c>
      <c r="U28" s="49" t="n">
        <f aca="false">MAX(O28:R28)</f>
        <v>1975.53346453214</v>
      </c>
      <c r="V28" s="49"/>
      <c r="W28" s="50" t="n">
        <f aca="false">T28/D28-1</f>
        <v>-0.0261832388369048</v>
      </c>
      <c r="X28" s="50" t="n">
        <f aca="false">U28/D28-1</f>
        <v>0.0267845449751261</v>
      </c>
      <c r="Y28" s="50"/>
      <c r="Z28" s="48" t="n">
        <f aca="false">-(1/($D$53+$E$53*LN(T28)+$F$53*LN(T28)^3)-273.15-C28)</f>
        <v>-0.991855450132903</v>
      </c>
      <c r="AA28" s="48" t="n">
        <f aca="false">-(1/($D$53+$E$53*LN(U28)+$F$53*LN(U28)^3)-273.15-C28)</f>
        <v>0.837395683717546</v>
      </c>
    </row>
    <row r="29" customFormat="false" ht="12.75" hidden="false" customHeight="false" outlineLevel="0" collapsed="false">
      <c r="C29" s="26" t="n">
        <f aca="false">Accuracy!F28</f>
        <v>80</v>
      </c>
      <c r="D29" s="26" t="n">
        <f aca="false">Accuracy!G28</f>
        <v>1668</v>
      </c>
      <c r="G29" s="46" t="n">
        <f aca="false">1/($D$53+$E$53*LN(D29)+$F$53*LN(D29)^3)-273.15</f>
        <v>80.0643813599223</v>
      </c>
      <c r="H29" s="47" t="n">
        <f aca="false">(G29)/(C29)-1</f>
        <v>0.000804766999028983</v>
      </c>
      <c r="I29" s="48" t="n">
        <f aca="false">G29-C29</f>
        <v>0.0643813599223222</v>
      </c>
      <c r="K29" s="0" t="n">
        <f aca="false">LN(D29/$D$18)*(C29+273.15)*($C$18+273.15)/($C$18-C29)</f>
        <v>3428.60275582019</v>
      </c>
      <c r="L29" s="0" t="n">
        <f aca="false">$D$18*EXP(K29*($C$18-C29)/(($C$18+273.15)*(C29+273.15)))</f>
        <v>1668</v>
      </c>
      <c r="O29" s="49" t="n">
        <f aca="false">$D$18*(1-Accuracy!$D$7)*EXP(K29*(1-Accuracy!$D$9)*($C$18-C29)/(($C$18+273.15)*(C29+273.15)))</f>
        <v>1681.16089881057</v>
      </c>
      <c r="P29" s="49" t="n">
        <f aca="false">$D$18*(1-Accuracy!$D$7)*EXP(K29*(1+Accuracy!$D$9)*($C$18-C29)/(($C$18+273.15)*(C29+273.15)))</f>
        <v>1622.00878234157</v>
      </c>
      <c r="Q29" s="49" t="n">
        <f aca="false">$D$18*(1+Accuracy!$D$7)*EXP(K29*(1-Accuracy!$D$9)*($C$18-C29)/(($C$18+273.15)*(C29+273.15)))</f>
        <v>1715.12374525119</v>
      </c>
      <c r="R29" s="49" t="n">
        <f aca="false">$D$18*(1+Accuracy!$D$7)*EXP(K29*(1+Accuracy!$D$9)*($C$18-C29)/(($C$18+273.15)*(C29+273.15)))</f>
        <v>1654.77663653029</v>
      </c>
      <c r="T29" s="49" t="n">
        <f aca="false">MIN(O29:R29)</f>
        <v>1622.00878234157</v>
      </c>
      <c r="U29" s="49" t="n">
        <f aca="false">MAX(O29:R29)</f>
        <v>1715.12374525119</v>
      </c>
      <c r="V29" s="49"/>
      <c r="W29" s="50" t="n">
        <f aca="false">T29/D29-1</f>
        <v>-0.0275726724570912</v>
      </c>
      <c r="X29" s="50" t="n">
        <f aca="false">U29/D29-1</f>
        <v>0.0282516458340474</v>
      </c>
      <c r="Y29" s="50"/>
      <c r="Z29" s="48" t="n">
        <f aca="false">-(1/($D$53+$E$53*LN(T29)+$F$53*LN(T29)^3)-273.15-C29)</f>
        <v>-1.05590955914232</v>
      </c>
      <c r="AA29" s="48" t="n">
        <f aca="false">-(1/($D$53+$E$53*LN(U29)+$F$53*LN(U29)^3)-273.15-C29)</f>
        <v>0.918930134248456</v>
      </c>
    </row>
    <row r="30" customFormat="false" ht="12.75" hidden="false" customHeight="false" outlineLevel="0" collapsed="false">
      <c r="C30" s="26" t="n">
        <f aca="false">Accuracy!F29</f>
        <v>85</v>
      </c>
      <c r="D30" s="26" t="n">
        <f aca="false">Accuracy!G29</f>
        <v>1451</v>
      </c>
      <c r="G30" s="46" t="n">
        <f aca="false">1/($D$53+$E$53*LN(D30)+$F$53*LN(D30)^3)-273.15</f>
        <v>85.0542126382941</v>
      </c>
      <c r="H30" s="47" t="n">
        <f aca="false">(G30)/(C30)-1</f>
        <v>0.000637795744636849</v>
      </c>
      <c r="I30" s="48" t="n">
        <f aca="false">G30-C30</f>
        <v>0.0542126382941319</v>
      </c>
      <c r="K30" s="0" t="n">
        <f aca="false">LN(D30/$D$18)*(C30+273.15)*($C$18+273.15)/($C$18-C30)</f>
        <v>3435.42566510336</v>
      </c>
      <c r="L30" s="0" t="n">
        <f aca="false">$D$18*EXP(K30*($C$18-C30)/(($C$18+273.15)*(C30+273.15)))</f>
        <v>1451</v>
      </c>
      <c r="O30" s="49" t="n">
        <f aca="false">$D$18*(1-Accuracy!$D$7)*EXP(K30*(1-Accuracy!$D$9)*($C$18-C30)/(($C$18+273.15)*(C30+273.15)))</f>
        <v>1464.48838942239</v>
      </c>
      <c r="P30" s="49" t="n">
        <f aca="false">$D$18*(1-Accuracy!$D$7)*EXP(K30*(1+Accuracy!$D$9)*($C$18-C30)/(($C$18+273.15)*(C30+273.15)))</f>
        <v>1409.02688952957</v>
      </c>
      <c r="Q30" s="49" t="n">
        <f aca="false">$D$18*(1+Accuracy!$D$7)*EXP(K30*(1-Accuracy!$D$9)*($C$18-C30)/(($C$18+273.15)*(C30+273.15)))</f>
        <v>1494.07401345113</v>
      </c>
      <c r="R30" s="49" t="n">
        <f aca="false">$D$18*(1+Accuracy!$D$7)*EXP(K30*(1+Accuracy!$D$9)*($C$18-C30)/(($C$18+273.15)*(C30+273.15)))</f>
        <v>1437.49207921703</v>
      </c>
      <c r="T30" s="49" t="n">
        <f aca="false">MIN(O30:R30)</f>
        <v>1409.02688952957</v>
      </c>
      <c r="U30" s="49" t="n">
        <f aca="false">MAX(O30:R30)</f>
        <v>1494.07401345113</v>
      </c>
      <c r="V30" s="49"/>
      <c r="W30" s="50" t="n">
        <f aca="false">T30/D30-1</f>
        <v>-0.0289270230671478</v>
      </c>
      <c r="X30" s="50" t="n">
        <f aca="false">U30/D30-1</f>
        <v>0.0296857432468136</v>
      </c>
      <c r="Y30" s="50"/>
      <c r="Z30" s="48" t="n">
        <f aca="false">-(1/($D$53+$E$53*LN(T30)+$F$53*LN(T30)^3)-273.15-C30)</f>
        <v>-1.12043302703455</v>
      </c>
      <c r="AA30" s="48" t="n">
        <f aca="false">-(1/($D$53+$E$53*LN(U30)+$F$53*LN(U30)^3)-273.15-C30)</f>
        <v>1.00302710966866</v>
      </c>
    </row>
    <row r="31" customFormat="false" ht="12.75" hidden="false" customHeight="false" outlineLevel="0" collapsed="false">
      <c r="C31" s="26" t="n">
        <f aca="false">Accuracy!F30</f>
        <v>90</v>
      </c>
      <c r="D31" s="26" t="n">
        <f aca="false">Accuracy!G30</f>
        <v>1266</v>
      </c>
      <c r="G31" s="46" t="n">
        <f aca="false">1/($D$53+$E$53*LN(D31)+$F$53*LN(D31)^3)-273.15</f>
        <v>90.0546035352277</v>
      </c>
      <c r="H31" s="47" t="n">
        <f aca="false">(G31)/(C31)-1</f>
        <v>0.000606705946974762</v>
      </c>
      <c r="I31" s="48" t="n">
        <f aca="false">G31-C31</f>
        <v>0.0546035352277272</v>
      </c>
      <c r="K31" s="0" t="n">
        <f aca="false">LN(D31/$D$18)*(C31+273.15)*($C$18+273.15)/($C$18-C31)</f>
        <v>3442.62509087802</v>
      </c>
      <c r="L31" s="0" t="n">
        <f aca="false">$D$18*EXP(K31*($C$18-C31)/(($C$18+273.15)*(C31+273.15)))</f>
        <v>1266</v>
      </c>
      <c r="O31" s="49" t="n">
        <f aca="false">$D$18*(1-Accuracy!$D$7)*EXP(K31*(1-Accuracy!$D$9)*($C$18-C31)/(($C$18+273.15)*(C31+273.15)))</f>
        <v>1279.51258899014</v>
      </c>
      <c r="P31" s="49" t="n">
        <f aca="false">$D$18*(1-Accuracy!$D$7)*EXP(K31*(1+Accuracy!$D$9)*($C$18-C31)/(($C$18+273.15)*(C31+273.15)))</f>
        <v>1227.70277456966</v>
      </c>
      <c r="Q31" s="49" t="n">
        <f aca="false">$D$18*(1+Accuracy!$D$7)*EXP(K31*(1-Accuracy!$D$9)*($C$18-C31)/(($C$18+273.15)*(C31+273.15)))</f>
        <v>1305.36132816165</v>
      </c>
      <c r="R31" s="49" t="n">
        <f aca="false">$D$18*(1+Accuracy!$D$7)*EXP(K31*(1+Accuracy!$D$9)*($C$18-C31)/(($C$18+273.15)*(C31+273.15)))</f>
        <v>1252.50485082359</v>
      </c>
      <c r="T31" s="49" t="n">
        <f aca="false">MIN(O31:R31)</f>
        <v>1227.70277456966</v>
      </c>
      <c r="U31" s="49" t="n">
        <f aca="false">MAX(O31:R31)</f>
        <v>1305.36132816165</v>
      </c>
      <c r="V31" s="49"/>
      <c r="W31" s="50" t="n">
        <f aca="false">T31/D31-1</f>
        <v>-0.0302505730097463</v>
      </c>
      <c r="X31" s="50" t="n">
        <f aca="false">U31/D31-1</f>
        <v>0.0310910964941973</v>
      </c>
      <c r="Y31" s="50"/>
      <c r="Z31" s="48" t="n">
        <f aca="false">-(1/($D$53+$E$53*LN(T31)+$F$53*LN(T31)^3)-273.15-C31)</f>
        <v>-1.19724540251957</v>
      </c>
      <c r="AA31" s="48" t="n">
        <f aca="false">-(1/($D$53+$E$53*LN(U31)+$F$53*LN(U31)^3)-273.15-C31)</f>
        <v>1.07823534923153</v>
      </c>
    </row>
    <row r="32" customFormat="false" ht="12.75" hidden="false" customHeight="false" outlineLevel="0" collapsed="false">
      <c r="C32" s="26" t="n">
        <f aca="false">Accuracy!F31</f>
        <v>95</v>
      </c>
      <c r="D32" s="26" t="n">
        <f aca="false">Accuracy!G31</f>
        <v>1108</v>
      </c>
      <c r="G32" s="46" t="n">
        <f aca="false">1/($D$53+$E$53*LN(D32)+$F$53*LN(D32)^3)-273.15</f>
        <v>95.058333015471</v>
      </c>
      <c r="H32" s="47" t="n">
        <f aca="false">(G32)/(C32)-1</f>
        <v>0.000614031741800192</v>
      </c>
      <c r="I32" s="48" t="n">
        <f aca="false">G32-C32</f>
        <v>0.0583330154710211</v>
      </c>
      <c r="K32" s="0" t="n">
        <f aca="false">LN(D32/$D$18)*(C32+273.15)*($C$18+273.15)/($C$18-C32)</f>
        <v>3449.76797548963</v>
      </c>
      <c r="L32" s="0" t="n">
        <f aca="false">$D$18*EXP(K32*($C$18-C32)/(($C$18+273.15)*(C32+273.15)))</f>
        <v>1108</v>
      </c>
      <c r="O32" s="49" t="n">
        <f aca="false">$D$18*(1-Accuracy!$D$7)*EXP(K32*(1-Accuracy!$D$9)*($C$18-C32)/(($C$18+273.15)*(C32+273.15)))</f>
        <v>1121.31997168981</v>
      </c>
      <c r="P32" s="49" t="n">
        <f aca="false">$D$18*(1-Accuracy!$D$7)*EXP(K32*(1+Accuracy!$D$9)*($C$18-C32)/(($C$18+273.15)*(C32+273.15)))</f>
        <v>1073.0509727627</v>
      </c>
      <c r="Q32" s="49" t="n">
        <f aca="false">$D$18*(1+Accuracy!$D$7)*EXP(K32*(1-Accuracy!$D$9)*($C$18-C32)/(($C$18+273.15)*(C32+273.15)))</f>
        <v>1143.97290041082</v>
      </c>
      <c r="R32" s="49" t="n">
        <f aca="false">$D$18*(1+Accuracy!$D$7)*EXP(K32*(1+Accuracy!$D$9)*($C$18-C32)/(($C$18+273.15)*(C32+273.15)))</f>
        <v>1094.72877019225</v>
      </c>
      <c r="T32" s="49" t="n">
        <f aca="false">MIN(O32:R32)</f>
        <v>1073.0509727627</v>
      </c>
      <c r="U32" s="49" t="n">
        <f aca="false">MAX(O32:R32)</f>
        <v>1143.97290041082</v>
      </c>
      <c r="V32" s="49"/>
      <c r="W32" s="50" t="n">
        <f aca="false">T32/D32-1</f>
        <v>-0.0315424433549617</v>
      </c>
      <c r="X32" s="50" t="n">
        <f aca="false">U32/D32-1</f>
        <v>0.032466516616263</v>
      </c>
      <c r="Y32" s="50"/>
      <c r="Z32" s="48" t="n">
        <f aca="false">-(1/($D$53+$E$53*LN(T32)+$F$53*LN(T32)^3)-273.15-C32)</f>
        <v>-1.27902910679018</v>
      </c>
      <c r="AA32" s="48" t="n">
        <f aca="false">-(1/($D$53+$E$53*LN(U32)+$F$53*LN(U32)^3)-273.15-C32)</f>
        <v>1.15167856235428</v>
      </c>
    </row>
    <row r="33" customFormat="false" ht="12.75" hidden="false" customHeight="false" outlineLevel="0" collapsed="false">
      <c r="C33" s="26" t="n">
        <f aca="false">Accuracy!F32</f>
        <v>100</v>
      </c>
      <c r="D33" s="26" t="n">
        <f aca="false">Accuracy!G32</f>
        <v>973.1</v>
      </c>
      <c r="G33" s="46" t="n">
        <f aca="false">1/($D$53+$E$53*LN(D33)+$F$53*LN(D33)^3)-273.15</f>
        <v>100.046251593083</v>
      </c>
      <c r="H33" s="47" t="n">
        <f aca="false">(G33)/(C33)-1</f>
        <v>0.000462515930834018</v>
      </c>
      <c r="I33" s="48" t="n">
        <f aca="false">G33-C33</f>
        <v>0.0462515930834115</v>
      </c>
      <c r="K33" s="0" t="n">
        <f aca="false">LN(D33/$D$18)*(C33+273.15)*($C$18+273.15)/($C$18-C33)</f>
        <v>3456.09453809419</v>
      </c>
      <c r="L33" s="0" t="n">
        <f aca="false">$D$18*EXP(K33*($C$18-C33)/(($C$18+273.15)*(C33+273.15)))</f>
        <v>973.1</v>
      </c>
      <c r="O33" s="49" t="n">
        <f aca="false">$D$18*(1-Accuracy!$D$7)*EXP(K33*(1-Accuracy!$D$9)*($C$18-C33)/(($C$18+273.15)*(C33+273.15)))</f>
        <v>986.077597874566</v>
      </c>
      <c r="P33" s="49" t="n">
        <f aca="false">$D$18*(1-Accuracy!$D$7)*EXP(K33*(1+Accuracy!$D$9)*($C$18-C33)/(($C$18+273.15)*(C33+273.15)))</f>
        <v>941.183363420306</v>
      </c>
      <c r="Q33" s="49" t="n">
        <f aca="false">$D$18*(1+Accuracy!$D$7)*EXP(K33*(1-Accuracy!$D$9)*($C$18-C33)/(($C$18+273.15)*(C33+273.15)))</f>
        <v>1005.99835742759</v>
      </c>
      <c r="R33" s="49" t="n">
        <f aca="false">$D$18*(1+Accuracy!$D$7)*EXP(K33*(1+Accuracy!$D$9)*($C$18-C33)/(($C$18+273.15)*(C33+273.15)))</f>
        <v>960.197168741928</v>
      </c>
      <c r="T33" s="49" t="n">
        <f aca="false">MIN(O33:R33)</f>
        <v>941.183363420306</v>
      </c>
      <c r="U33" s="49" t="n">
        <f aca="false">MAX(O33:R33)</f>
        <v>1005.99835742759</v>
      </c>
      <c r="V33" s="49"/>
      <c r="W33" s="50" t="n">
        <f aca="false">T33/D33-1</f>
        <v>-0.0327989277357869</v>
      </c>
      <c r="X33" s="50" t="n">
        <f aca="false">U33/D33-1</f>
        <v>0.0338077868950653</v>
      </c>
      <c r="Y33" s="50"/>
      <c r="Z33" s="48" t="n">
        <f aca="false">-(1/($D$53+$E$53*LN(T33)+$F$53*LN(T33)^3)-273.15-C33)</f>
        <v>-1.34633711404587</v>
      </c>
      <c r="AA33" s="48" t="n">
        <f aca="false">-(1/($D$53+$E$53*LN(U33)+$F$53*LN(U33)^3)-273.15-C33)</f>
        <v>1.24221055386948</v>
      </c>
    </row>
    <row r="34" customFormat="false" ht="12.75" hidden="false" customHeight="false" outlineLevel="0" collapsed="false">
      <c r="C34" s="26" t="n">
        <f aca="false">Accuracy!F33</f>
        <v>105</v>
      </c>
      <c r="D34" s="26" t="n">
        <f aca="false">Accuracy!G33</f>
        <v>857.2</v>
      </c>
      <c r="G34" s="46" t="n">
        <f aca="false">1/($D$53+$E$53*LN(D34)+$F$53*LN(D34)^3)-273.15</f>
        <v>105.032068614331</v>
      </c>
      <c r="H34" s="47" t="n">
        <f aca="false">(G34)/(C34)-1</f>
        <v>0.000305415374585616</v>
      </c>
      <c r="I34" s="48" t="n">
        <f aca="false">G34-C34</f>
        <v>0.0320686143314788</v>
      </c>
      <c r="K34" s="0" t="n">
        <f aca="false">LN(D34/$D$18)*(C34+273.15)*($C$18+273.15)/($C$18-C34)</f>
        <v>3462.22745708295</v>
      </c>
      <c r="L34" s="0" t="n">
        <f aca="false">$D$18*EXP(K34*($C$18-C34)/(($C$18+273.15)*(C34+273.15)))</f>
        <v>857.2</v>
      </c>
      <c r="O34" s="49" t="n">
        <f aca="false">$D$18*(1-Accuracy!$D$7)*EXP(K34*(1-Accuracy!$D$9)*($C$18-C34)/(($C$18+273.15)*(C34+273.15)))</f>
        <v>869.734174866716</v>
      </c>
      <c r="P34" s="49" t="n">
        <f aca="false">$D$18*(1-Accuracy!$D$7)*EXP(K34*(1+Accuracy!$D$9)*($C$18-C34)/(($C$18+273.15)*(C34+273.15)))</f>
        <v>828.034016824007</v>
      </c>
      <c r="Q34" s="49" t="n">
        <f aca="false">$D$18*(1+Accuracy!$D$7)*EXP(K34*(1-Accuracy!$D$9)*($C$18-C34)/(($C$18+273.15)*(C34+273.15)))</f>
        <v>887.304562237761</v>
      </c>
      <c r="R34" s="49" t="n">
        <f aca="false">$D$18*(1+Accuracy!$D$7)*EXP(K34*(1+Accuracy!$D$9)*($C$18-C34)/(($C$18+273.15)*(C34+273.15)))</f>
        <v>844.761976759845</v>
      </c>
      <c r="T34" s="49" t="n">
        <f aca="false">MIN(O34:R34)</f>
        <v>828.034016824007</v>
      </c>
      <c r="U34" s="49" t="n">
        <f aca="false">MAX(O34:R34)</f>
        <v>887.304562237761</v>
      </c>
      <c r="V34" s="49"/>
      <c r="W34" s="50" t="n">
        <f aca="false">T34/D34-1</f>
        <v>-0.034024712057855</v>
      </c>
      <c r="X34" s="50" t="n">
        <f aca="false">U34/D34-1</f>
        <v>0.0351196479675229</v>
      </c>
      <c r="Y34" s="50"/>
      <c r="Z34" s="48" t="n">
        <f aca="false">-(1/($D$53+$E$53*LN(T34)+$F$53*LN(T34)^3)-273.15-C34)</f>
        <v>-1.41309537560386</v>
      </c>
      <c r="AA34" s="48" t="n">
        <f aca="false">-(1/($D$53+$E$53*LN(U34)+$F$53*LN(U34)^3)-273.15-C34)</f>
        <v>1.33633458898862</v>
      </c>
    </row>
    <row r="35" customFormat="false" ht="12.75" hidden="false" customHeight="false" outlineLevel="0" collapsed="false">
      <c r="C35" s="26" t="n">
        <f aca="false">Accuracy!F34</f>
        <v>110</v>
      </c>
      <c r="D35" s="26" t="n">
        <f aca="false">Accuracy!G34</f>
        <v>757.6</v>
      </c>
      <c r="G35" s="46" t="n">
        <f aca="false">1/($D$53+$E$53*LN(D35)+$F$53*LN(D35)^3)-273.15</f>
        <v>110</v>
      </c>
      <c r="H35" s="47" t="n">
        <f aca="false">(G35)/(C35)-1</f>
        <v>0</v>
      </c>
      <c r="I35" s="48" t="n">
        <f aca="false">G35-C35</f>
        <v>0</v>
      </c>
      <c r="K35" s="0" t="n">
        <f aca="false">LN(D35/$D$18)*(C35+273.15)*($C$18+273.15)/($C$18-C35)</f>
        <v>3467.65222745505</v>
      </c>
      <c r="L35" s="0" t="n">
        <f aca="false">$D$18*EXP(K35*($C$18-C35)/(($C$18+273.15)*(C35+273.15)))</f>
        <v>757.6</v>
      </c>
      <c r="O35" s="49" t="n">
        <f aca="false">$D$18*(1-Accuracy!$D$7)*EXP(K35*(1-Accuracy!$D$9)*($C$18-C35)/(($C$18+273.15)*(C35+273.15)))</f>
        <v>769.627825366316</v>
      </c>
      <c r="P35" s="49" t="n">
        <f aca="false">$D$18*(1-Accuracy!$D$7)*EXP(K35*(1+Accuracy!$D$9)*($C$18-C35)/(($C$18+273.15)*(C35+273.15)))</f>
        <v>730.919519844871</v>
      </c>
      <c r="Q35" s="49" t="n">
        <f aca="false">$D$18*(1+Accuracy!$D$7)*EXP(K35*(1-Accuracy!$D$9)*($C$18-C35)/(($C$18+273.15)*(C35+273.15)))</f>
        <v>785.175862242403</v>
      </c>
      <c r="R35" s="49" t="n">
        <f aca="false">$D$18*(1+Accuracy!$D$7)*EXP(K35*(1+Accuracy!$D$9)*($C$18-C35)/(($C$18+273.15)*(C35+273.15)))</f>
        <v>745.685570750828</v>
      </c>
      <c r="T35" s="49" t="n">
        <f aca="false">MIN(O35:R35)</f>
        <v>730.919519844871</v>
      </c>
      <c r="U35" s="49" t="n">
        <f aca="false">MAX(O35:R35)</f>
        <v>785.175862242403</v>
      </c>
      <c r="V35" s="49"/>
      <c r="W35" s="50" t="n">
        <f aca="false">T35/D35-1</f>
        <v>-0.0352171068573505</v>
      </c>
      <c r="X35" s="50" t="n">
        <f aca="false">U35/D35-1</f>
        <v>0.0363989733928234</v>
      </c>
      <c r="Y35" s="50"/>
      <c r="Z35" s="48" t="n">
        <f aca="false">-(1/($D$53+$E$53*LN(T35)+$F$53*LN(T35)^3)-273.15-C35)</f>
        <v>-1.46326076612399</v>
      </c>
      <c r="AA35" s="48" t="n">
        <f aca="false">-(1/($D$53+$E$53*LN(U35)+$F$53*LN(U35)^3)-273.15-C35)</f>
        <v>1.44957750725837</v>
      </c>
    </row>
    <row r="36" customFormat="false" ht="12.75" hidden="false" customHeight="false" outlineLevel="0" collapsed="false">
      <c r="C36" s="26" t="n">
        <f aca="false">Accuracy!F35</f>
        <v>115</v>
      </c>
      <c r="D36" s="26" t="n">
        <f aca="false">Accuracy!G35</f>
        <v>0</v>
      </c>
      <c r="G36" s="46" t="e">
        <f aca="false">1/($D$53+$E$53*LN(D36)+$F$53*LN(D36)^3)-273.15</f>
        <v>#VALUE!</v>
      </c>
      <c r="H36" s="47" t="e">
        <f aca="false">(G36)/(C36)-1</f>
        <v>#VALUE!</v>
      </c>
      <c r="I36" s="48" t="e">
        <f aca="false">G36-C36</f>
        <v>#VALUE!</v>
      </c>
      <c r="K36" s="0" t="e">
        <f aca="false">LN(D36/$D$18)*(C36+273.15)*($C$18+273.15)/($C$18-C36)</f>
        <v>#VALUE!</v>
      </c>
      <c r="L36" s="0" t="e">
        <f aca="false">$D$18*EXP(K36*($C$18-C36)/(($C$18+273.15)*(C36+273.15)))</f>
        <v>#VALUE!</v>
      </c>
      <c r="O36" s="49" t="e">
        <f aca="false">$D$18*(1-Accuracy!$D$7)*EXP(K36*(1-Accuracy!$D$9)*($C$18-C36)/(($C$18+273.15)*(C36+273.15)))</f>
        <v>#VALUE!</v>
      </c>
      <c r="P36" s="49" t="e">
        <f aca="false">$D$18*(1-Accuracy!$D$7)*EXP(K36*(1+Accuracy!$D$9)*($C$18-C36)/(($C$18+273.15)*(C36+273.15)))</f>
        <v>#VALUE!</v>
      </c>
      <c r="Q36" s="49" t="e">
        <f aca="false">$D$18*(1+Accuracy!$D$7)*EXP(K36*(1-Accuracy!$D$9)*($C$18-C36)/(($C$18+273.15)*(C36+273.15)))</f>
        <v>#VALUE!</v>
      </c>
      <c r="R36" s="49" t="e">
        <f aca="false">$D$18*(1+Accuracy!$D$7)*EXP(K36*(1+Accuracy!$D$9)*($C$18-C36)/(($C$18+273.15)*(C36+273.15)))</f>
        <v>#VALUE!</v>
      </c>
      <c r="T36" s="49" t="e">
        <f aca="false">MIN(O36:R36)</f>
        <v>#VALUE!</v>
      </c>
      <c r="U36" s="49" t="e">
        <f aca="false">MAX(O36:R36)</f>
        <v>#VALUE!</v>
      </c>
      <c r="V36" s="49"/>
      <c r="W36" s="50" t="e">
        <f aca="false">T36/D36-1</f>
        <v>#VALUE!</v>
      </c>
      <c r="X36" s="50" t="e">
        <f aca="false">U36/D36-1</f>
        <v>#VALUE!</v>
      </c>
      <c r="Y36" s="50"/>
      <c r="Z36" s="48" t="e">
        <f aca="false">-(1/($D$53+$E$53*LN(T36)+$F$53*LN(T36)^3)-273.15-C36)</f>
        <v>#VALUE!</v>
      </c>
      <c r="AA36" s="48" t="e">
        <f aca="false">-(1/($D$53+$E$53*LN(U36)+$F$53*LN(U36)^3)-273.15-C36)</f>
        <v>#VALUE!</v>
      </c>
    </row>
    <row r="37" customFormat="false" ht="12.75" hidden="false" customHeight="false" outlineLevel="0" collapsed="false">
      <c r="C37" s="26" t="n">
        <f aca="false">Accuracy!F36</f>
        <v>0</v>
      </c>
      <c r="D37" s="26" t="n">
        <f aca="false">Accuracy!G36</f>
        <v>0</v>
      </c>
      <c r="G37" s="46" t="e">
        <f aca="false">1/($D$53+$E$53*LN(D37)+$F$53*LN(D37)^3)-273.15</f>
        <v>#VALUE!</v>
      </c>
      <c r="H37" s="47" t="e">
        <f aca="false">(G37)/(C37)-1</f>
        <v>#VALUE!</v>
      </c>
      <c r="I37" s="48" t="e">
        <f aca="false">G37-C37</f>
        <v>#VALUE!</v>
      </c>
      <c r="K37" s="0" t="e">
        <f aca="false">LN(D37/$D$18)*(C37+273.15)*($C$18+273.15)/($C$18-C37)</f>
        <v>#VALUE!</v>
      </c>
      <c r="L37" s="0" t="e">
        <f aca="false">$D$18*EXP(K37*($C$18-C37)/(($C$18+273.15)*(C37+273.15)))</f>
        <v>#VALUE!</v>
      </c>
      <c r="O37" s="49" t="e">
        <f aca="false">$D$18*(1-Accuracy!$D$7)*EXP(K37*(1-Accuracy!$D$9)*($C$18-C37)/(($C$18+273.15)*(C37+273.15)))</f>
        <v>#VALUE!</v>
      </c>
      <c r="P37" s="49" t="e">
        <f aca="false">$D$18*(1-Accuracy!$D$7)*EXP(K37*(1+Accuracy!$D$9)*($C$18-C37)/(($C$18+273.15)*(C37+273.15)))</f>
        <v>#VALUE!</v>
      </c>
      <c r="Q37" s="49" t="e">
        <f aca="false">$D$18*(1+Accuracy!$D$7)*EXP(K37*(1-Accuracy!$D$9)*($C$18-C37)/(($C$18+273.15)*(C37+273.15)))</f>
        <v>#VALUE!</v>
      </c>
      <c r="R37" s="49" t="e">
        <f aca="false">$D$18*(1+Accuracy!$D$7)*EXP(K37*(1+Accuracy!$D$9)*($C$18-C37)/(($C$18+273.15)*(C37+273.15)))</f>
        <v>#VALUE!</v>
      </c>
      <c r="T37" s="49" t="e">
        <f aca="false">MIN(O37:R37)</f>
        <v>#VALUE!</v>
      </c>
      <c r="U37" s="49" t="e">
        <f aca="false">MAX(O37:R37)</f>
        <v>#VALUE!</v>
      </c>
      <c r="V37" s="49"/>
      <c r="W37" s="50" t="e">
        <f aca="false">T37/D37-1</f>
        <v>#VALUE!</v>
      </c>
      <c r="X37" s="50" t="e">
        <f aca="false">U37/D37-1</f>
        <v>#VALUE!</v>
      </c>
      <c r="Y37" s="50"/>
      <c r="Z37" s="48" t="e">
        <f aca="false">-(1/($D$53+$E$53*LN(T37)+$F$53*LN(T37)^3)-273.15-C37)</f>
        <v>#VALUE!</v>
      </c>
      <c r="AA37" s="48" t="e">
        <f aca="false">-(1/($D$53+$E$53*LN(U37)+$F$53*LN(U37)^3)-273.15-C37)</f>
        <v>#VALUE!</v>
      </c>
    </row>
    <row r="38" customFormat="false" ht="12.75" hidden="false" customHeight="false" outlineLevel="0" collapsed="false">
      <c r="C38" s="26" t="n">
        <f aca="false">Accuracy!F37</f>
        <v>0</v>
      </c>
      <c r="D38" s="26" t="n">
        <f aca="false">Accuracy!G37</f>
        <v>0</v>
      </c>
      <c r="G38" s="46" t="e">
        <f aca="false">1/($D$53+$E$53*LN(D38)+$F$53*LN(D38)^3)-273.15</f>
        <v>#VALUE!</v>
      </c>
      <c r="H38" s="47" t="e">
        <f aca="false">(G38)/(C38)-1</f>
        <v>#VALUE!</v>
      </c>
      <c r="I38" s="48" t="e">
        <f aca="false">G38-C38</f>
        <v>#VALUE!</v>
      </c>
      <c r="K38" s="0" t="e">
        <f aca="false">LN(D38/$D$18)*(C38+273.15)*($C$18+273.15)/($C$18-C38)</f>
        <v>#VALUE!</v>
      </c>
      <c r="L38" s="0" t="e">
        <f aca="false">$D$18*EXP(K38*($C$18-C38)/(($C$18+273.15)*(C38+273.15)))</f>
        <v>#VALUE!</v>
      </c>
      <c r="O38" s="49" t="e">
        <f aca="false">$D$18*(1-Accuracy!$D$7)*EXP(K38*(1-Accuracy!$D$9)*($C$18-C38)/(($C$18+273.15)*(C38+273.15)))</f>
        <v>#VALUE!</v>
      </c>
      <c r="P38" s="49" t="e">
        <f aca="false">$D$18*(1-Accuracy!$D$7)*EXP(K38*(1+Accuracy!$D$9)*($C$18-C38)/(($C$18+273.15)*(C38+273.15)))</f>
        <v>#VALUE!</v>
      </c>
      <c r="Q38" s="49" t="e">
        <f aca="false">$D$18*(1+Accuracy!$D$7)*EXP(K38*(1-Accuracy!$D$9)*($C$18-C38)/(($C$18+273.15)*(C38+273.15)))</f>
        <v>#VALUE!</v>
      </c>
      <c r="R38" s="49" t="e">
        <f aca="false">$D$18*(1+Accuracy!$D$7)*EXP(K38*(1+Accuracy!$D$9)*($C$18-C38)/(($C$18+273.15)*(C38+273.15)))</f>
        <v>#VALUE!</v>
      </c>
      <c r="T38" s="49" t="e">
        <f aca="false">MIN(O38:R38)</f>
        <v>#VALUE!</v>
      </c>
      <c r="U38" s="49" t="e">
        <f aca="false">MAX(O38:R38)</f>
        <v>#VALUE!</v>
      </c>
      <c r="V38" s="49"/>
      <c r="W38" s="50" t="e">
        <f aca="false">T38/D38-1</f>
        <v>#VALUE!</v>
      </c>
      <c r="X38" s="50" t="e">
        <f aca="false">U38/D38-1</f>
        <v>#VALUE!</v>
      </c>
      <c r="Y38" s="50"/>
      <c r="Z38" s="48" t="e">
        <f aca="false">-(1/($D$53+$E$53*LN(T38)+$F$53*LN(T38)^3)-273.15-C38)</f>
        <v>#VALUE!</v>
      </c>
      <c r="AA38" s="48" t="e">
        <f aca="false">-(1/($D$53+$E$53*LN(U38)+$F$53*LN(U38)^3)-273.15-C38)</f>
        <v>#VALUE!</v>
      </c>
    </row>
    <row r="39" customFormat="false" ht="12.75" hidden="false" customHeight="false" outlineLevel="0" collapsed="false">
      <c r="C39" s="26" t="n">
        <f aca="false">Accuracy!F38</f>
        <v>0</v>
      </c>
      <c r="D39" s="26" t="n">
        <f aca="false">Accuracy!G38</f>
        <v>0</v>
      </c>
      <c r="G39" s="46" t="e">
        <f aca="false">1/($D$53+$E$53*LN(D39)+$F$53*LN(D39)^3)-273.15</f>
        <v>#VALUE!</v>
      </c>
      <c r="H39" s="47" t="e">
        <f aca="false">(G39)/(C39)-1</f>
        <v>#VALUE!</v>
      </c>
      <c r="I39" s="48" t="e">
        <f aca="false">G39-C39</f>
        <v>#VALUE!</v>
      </c>
      <c r="K39" s="0" t="e">
        <f aca="false">LN(D39/$D$18)*(C39+273.15)*($C$18+273.15)/($C$18-C39)</f>
        <v>#VALUE!</v>
      </c>
      <c r="L39" s="0" t="e">
        <f aca="false">$D$18*EXP(K39*($C$18-C39)/(($C$18+273.15)*(C39+273.15)))</f>
        <v>#VALUE!</v>
      </c>
      <c r="O39" s="49" t="e">
        <f aca="false">$D$18*(1-Accuracy!$D$7)*EXP(K39*(1-Accuracy!$D$9)*($C$18-C39)/(($C$18+273.15)*(C39+273.15)))</f>
        <v>#VALUE!</v>
      </c>
      <c r="P39" s="49" t="e">
        <f aca="false">$D$18*(1-Accuracy!$D$7)*EXP(K39*(1+Accuracy!$D$9)*($C$18-C39)/(($C$18+273.15)*(C39+273.15)))</f>
        <v>#VALUE!</v>
      </c>
      <c r="Q39" s="49" t="e">
        <f aca="false">$D$18*(1+Accuracy!$D$7)*EXP(K39*(1-Accuracy!$D$9)*($C$18-C39)/(($C$18+273.15)*(C39+273.15)))</f>
        <v>#VALUE!</v>
      </c>
      <c r="R39" s="49" t="e">
        <f aca="false">$D$18*(1+Accuracy!$D$7)*EXP(K39*(1+Accuracy!$D$9)*($C$18-C39)/(($C$18+273.15)*(C39+273.15)))</f>
        <v>#VALUE!</v>
      </c>
      <c r="T39" s="49" t="e">
        <f aca="false">MIN(O39:R39)</f>
        <v>#VALUE!</v>
      </c>
      <c r="U39" s="49" t="e">
        <f aca="false">MAX(O39:R39)</f>
        <v>#VALUE!</v>
      </c>
      <c r="V39" s="49"/>
      <c r="W39" s="50" t="e">
        <f aca="false">T39/D39-1</f>
        <v>#VALUE!</v>
      </c>
      <c r="X39" s="50" t="e">
        <f aca="false">U39/D39-1</f>
        <v>#VALUE!</v>
      </c>
      <c r="Y39" s="50"/>
      <c r="Z39" s="48" t="e">
        <f aca="false">-(1/($D$53+$E$53*LN(T39)+$F$53*LN(T39)^3)-273.15-C39)</f>
        <v>#VALUE!</v>
      </c>
      <c r="AA39" s="48" t="e">
        <f aca="false">-(1/($D$53+$E$53*LN(U39)+$F$53*LN(U39)^3)-273.15-C39)</f>
        <v>#VALUE!</v>
      </c>
    </row>
    <row r="40" customFormat="false" ht="12.75" hidden="false" customHeight="false" outlineLevel="0" collapsed="false">
      <c r="C40" s="26" t="n">
        <f aca="false">Accuracy!F39</f>
        <v>0</v>
      </c>
      <c r="D40" s="26" t="n">
        <f aca="false">Accuracy!G39</f>
        <v>0</v>
      </c>
      <c r="G40" s="46" t="e">
        <f aca="false">1/($D$53+$E$53*LN(D40)+$F$53*LN(D40)^3)-273.15</f>
        <v>#VALUE!</v>
      </c>
      <c r="H40" s="47" t="e">
        <f aca="false">(G40)/(C40)-1</f>
        <v>#VALUE!</v>
      </c>
      <c r="I40" s="48" t="e">
        <f aca="false">G40-C40</f>
        <v>#VALUE!</v>
      </c>
      <c r="K40" s="0" t="e">
        <f aca="false">LN(D40/$D$18)*(C40+273.15)*($C$18+273.15)/($C$18-C40)</f>
        <v>#VALUE!</v>
      </c>
      <c r="L40" s="0" t="e">
        <f aca="false">$D$18*EXP(K40*($C$18-C40)/(($C$18+273.15)*(C40+273.15)))</f>
        <v>#VALUE!</v>
      </c>
      <c r="O40" s="49" t="e">
        <f aca="false">$D$18*(1-Accuracy!$D$7)*EXP(K40*(1-Accuracy!$D$9)*($C$18-C40)/(($C$18+273.15)*(C40+273.15)))</f>
        <v>#VALUE!</v>
      </c>
      <c r="P40" s="49" t="e">
        <f aca="false">$D$18*(1-Accuracy!$D$7)*EXP(K40*(1+Accuracy!$D$9)*($C$18-C40)/(($C$18+273.15)*(C40+273.15)))</f>
        <v>#VALUE!</v>
      </c>
      <c r="Q40" s="49" t="e">
        <f aca="false">$D$18*(1+Accuracy!$D$7)*EXP(K40*(1-Accuracy!$D$9)*($C$18-C40)/(($C$18+273.15)*(C40+273.15)))</f>
        <v>#VALUE!</v>
      </c>
      <c r="R40" s="49" t="e">
        <f aca="false">$D$18*(1+Accuracy!$D$7)*EXP(K40*(1+Accuracy!$D$9)*($C$18-C40)/(($C$18+273.15)*(C40+273.15)))</f>
        <v>#VALUE!</v>
      </c>
      <c r="T40" s="49" t="e">
        <f aca="false">MIN(O40:R40)</f>
        <v>#VALUE!</v>
      </c>
      <c r="U40" s="49" t="e">
        <f aca="false">MAX(O40:R40)</f>
        <v>#VALUE!</v>
      </c>
      <c r="V40" s="49"/>
      <c r="W40" s="50" t="e">
        <f aca="false">T40/D40-1</f>
        <v>#VALUE!</v>
      </c>
      <c r="X40" s="50" t="e">
        <f aca="false">U40/D40-1</f>
        <v>#VALUE!</v>
      </c>
      <c r="Y40" s="50"/>
      <c r="Z40" s="48" t="e">
        <f aca="false">-(1/($D$53+$E$53*LN(T40)+$F$53*LN(T40)^3)-273.15-C40)</f>
        <v>#VALUE!</v>
      </c>
      <c r="AA40" s="48" t="e">
        <f aca="false">-(1/($D$53+$E$53*LN(U40)+$F$53*LN(U40)^3)-273.15-C40)</f>
        <v>#VALUE!</v>
      </c>
    </row>
    <row r="41" customFormat="false" ht="12.75" hidden="false" customHeight="false" outlineLevel="0" collapsed="false">
      <c r="C41" s="35"/>
      <c r="D41" s="35"/>
      <c r="G41" s="46"/>
      <c r="H41" s="50"/>
      <c r="I41" s="50"/>
      <c r="O41" s="49"/>
      <c r="P41" s="49"/>
      <c r="Q41" s="49"/>
      <c r="R41" s="49"/>
      <c r="T41" s="49"/>
      <c r="U41" s="49"/>
      <c r="V41" s="49"/>
      <c r="W41" s="50"/>
      <c r="X41" s="50"/>
      <c r="Y41" s="50"/>
      <c r="Z41" s="48"/>
      <c r="AA41" s="48"/>
    </row>
    <row r="42" customFormat="false" ht="12.75" hidden="false" customHeight="false" outlineLevel="0" collapsed="false">
      <c r="C42" s="35"/>
      <c r="D42" s="35"/>
      <c r="G42" s="46"/>
      <c r="H42" s="50"/>
      <c r="I42" s="50"/>
      <c r="O42" s="49"/>
      <c r="P42" s="49"/>
      <c r="Q42" s="49"/>
      <c r="R42" s="49"/>
      <c r="T42" s="49"/>
      <c r="U42" s="49"/>
      <c r="V42" s="49"/>
      <c r="W42" s="50"/>
      <c r="X42" s="50"/>
      <c r="Y42" s="50"/>
      <c r="Z42" s="48"/>
      <c r="AA42" s="48"/>
    </row>
    <row r="43" customFormat="false" ht="12.75" hidden="false" customHeight="false" outlineLevel="0" collapsed="false">
      <c r="C43" s="35"/>
      <c r="D43" s="35"/>
      <c r="G43" s="46"/>
      <c r="H43" s="50"/>
      <c r="I43" s="50"/>
      <c r="O43" s="49"/>
      <c r="P43" s="49"/>
      <c r="Q43" s="49"/>
      <c r="R43" s="49"/>
      <c r="T43" s="49"/>
      <c r="U43" s="49"/>
      <c r="V43" s="49"/>
      <c r="W43" s="50"/>
      <c r="X43" s="50"/>
      <c r="Y43" s="50"/>
      <c r="Z43" s="48"/>
      <c r="AA43" s="48"/>
    </row>
    <row r="44" customFormat="false" ht="12.75" hidden="false" customHeight="false" outlineLevel="0" collapsed="false">
      <c r="C44" s="35"/>
      <c r="D44" s="35" t="n">
        <f aca="false">LOOKUP(Accuracy!D3,C5:C40,C5:C40)</f>
        <v>-40</v>
      </c>
      <c r="G44" s="46"/>
      <c r="H44" s="50"/>
      <c r="I44" s="50"/>
      <c r="O44" s="49"/>
      <c r="P44" s="49"/>
      <c r="Q44" s="49"/>
      <c r="R44" s="49"/>
      <c r="T44" s="49"/>
      <c r="U44" s="49"/>
      <c r="V44" s="49"/>
      <c r="W44" s="50"/>
      <c r="X44" s="50"/>
      <c r="Y44" s="50"/>
      <c r="Z44" s="48"/>
      <c r="AA44" s="48"/>
    </row>
    <row r="45" customFormat="false" ht="12.75" hidden="false" customHeight="false" outlineLevel="0" collapsed="false">
      <c r="C45" s="35"/>
      <c r="D45" s="35"/>
      <c r="G45" s="46"/>
      <c r="H45" s="50"/>
      <c r="I45" s="50"/>
      <c r="O45" s="49"/>
      <c r="P45" s="49"/>
      <c r="Q45" s="49"/>
      <c r="R45" s="49"/>
      <c r="T45" s="49"/>
      <c r="U45" s="49"/>
      <c r="V45" s="49"/>
      <c r="W45" s="50"/>
      <c r="X45" s="50"/>
      <c r="Y45" s="50"/>
      <c r="Z45" s="48"/>
      <c r="AA45" s="48"/>
    </row>
    <row r="47" customFormat="false" ht="12.75" hidden="false" customHeight="false" outlineLevel="0" collapsed="false">
      <c r="B47" s="51"/>
      <c r="C47" s="5"/>
      <c r="D47" s="5" t="s">
        <v>47</v>
      </c>
      <c r="E47" s="5" t="s">
        <v>57</v>
      </c>
      <c r="F47" s="5" t="s">
        <v>58</v>
      </c>
      <c r="G47" s="7" t="s">
        <v>59</v>
      </c>
    </row>
    <row r="48" customFormat="false" ht="12.75" hidden="false" customHeight="false" outlineLevel="0" collapsed="false">
      <c r="B48" s="9" t="n">
        <v>1</v>
      </c>
      <c r="C48" s="3" t="s">
        <v>60</v>
      </c>
      <c r="D48" s="26" t="n">
        <f aca="false">LOOKUP(Accuracy!D3,C5:C40,C5:C40)+273.15</f>
        <v>233.15</v>
      </c>
      <c r="E48" s="3" t="n">
        <f aca="false">LOOKUP(D48-273.15,C5:C40,D5:D40)</f>
        <v>188500</v>
      </c>
      <c r="F48" s="3" t="n">
        <f aca="false">LN(E48)</f>
        <v>12.1468532858702</v>
      </c>
      <c r="G48" s="11" t="n">
        <f aca="false">1/D48</f>
        <v>0.00428908428050611</v>
      </c>
    </row>
    <row r="49" customFormat="false" ht="12.75" hidden="false" customHeight="false" outlineLevel="0" collapsed="false">
      <c r="B49" s="9" t="n">
        <v>2</v>
      </c>
      <c r="C49" s="3" t="s">
        <v>61</v>
      </c>
      <c r="D49" s="26" t="n">
        <f aca="false">273.15+C18</f>
        <v>298.15</v>
      </c>
      <c r="E49" s="3" t="n">
        <f aca="false">LOOKUP(D49-273.15,C5:C40,D5:D40)</f>
        <v>10000</v>
      </c>
      <c r="F49" s="3" t="n">
        <f aca="false">LN(E49)</f>
        <v>9.21034037197618</v>
      </c>
      <c r="G49" s="11" t="n">
        <f aca="false">1/D49</f>
        <v>0.00335401643468053</v>
      </c>
    </row>
    <row r="50" customFormat="false" ht="12.75" hidden="false" customHeight="false" outlineLevel="0" collapsed="false">
      <c r="B50" s="9" t="n">
        <v>3</v>
      </c>
      <c r="C50" s="3" t="s">
        <v>62</v>
      </c>
      <c r="D50" s="26" t="n">
        <f aca="false">LOOKUP(Accuracy!D4,C5:C40,C5:C40)+273.15</f>
        <v>383.15</v>
      </c>
      <c r="E50" s="3" t="n">
        <f aca="false">LOOKUP(D50-273.15,C5:C40,D5:D40)</f>
        <v>757.6</v>
      </c>
      <c r="F50" s="3" t="n">
        <f aca="false">LN(E50)</f>
        <v>6.63015554187187</v>
      </c>
      <c r="G50" s="11" t="n">
        <f aca="false">1/D50</f>
        <v>0.00260994388620645</v>
      </c>
    </row>
    <row r="51" customFormat="false" ht="12.75" hidden="false" customHeight="false" outlineLevel="0" collapsed="false">
      <c r="B51" s="9"/>
      <c r="C51" s="3"/>
      <c r="D51" s="3"/>
      <c r="E51" s="3"/>
      <c r="F51" s="3"/>
      <c r="G51" s="11"/>
    </row>
    <row r="52" customFormat="false" ht="12.75" hidden="false" customHeight="false" outlineLevel="0" collapsed="false">
      <c r="B52" s="9" t="s">
        <v>40</v>
      </c>
      <c r="C52" s="3"/>
      <c r="D52" s="3" t="s">
        <v>63</v>
      </c>
      <c r="E52" s="3" t="s">
        <v>64</v>
      </c>
      <c r="F52" s="3" t="s">
        <v>65</v>
      </c>
      <c r="G52" s="11"/>
    </row>
    <row r="53" customFormat="false" ht="12.75" hidden="false" customHeight="false" outlineLevel="0" collapsed="false">
      <c r="B53" s="9"/>
      <c r="C53" s="3"/>
      <c r="D53" s="52" t="n">
        <f aca="false">1/D48-E53*F48-F53*F48^3</f>
        <v>0.000886198585279162</v>
      </c>
      <c r="E53" s="52" t="n">
        <f aca="false">(1/D50-1/D48-F53*(F50^3-F48^3))/(F50-F48)</f>
        <v>0.000251430491700584</v>
      </c>
      <c r="F53" s="52" t="n">
        <f aca="false">((1/D49-1/D48)-(1/D50-1/D48)*(F49-F48)/(F50-F48))/((F49^3-F48^3)-(F50^3-F48^3)/(F50-F48)*(F49-F48))</f>
        <v>1.94616938827166E-007</v>
      </c>
      <c r="G53" s="11"/>
    </row>
    <row r="54" customFormat="false" ht="12.75" hidden="false" customHeight="false" outlineLevel="0" collapsed="false">
      <c r="B54" s="9"/>
      <c r="C54" s="3"/>
      <c r="D54" s="52"/>
      <c r="E54" s="52"/>
      <c r="F54" s="52"/>
      <c r="G54" s="11"/>
    </row>
    <row r="55" customFormat="false" ht="12.75" hidden="false" customHeight="false" outlineLevel="0" collapsed="false">
      <c r="B55" s="9"/>
      <c r="C55" s="3"/>
      <c r="D55" s="52"/>
      <c r="E55" s="52"/>
      <c r="F55" s="52"/>
      <c r="G55" s="11"/>
    </row>
    <row r="56" customFormat="false" ht="12.75" hidden="false" customHeight="false" outlineLevel="0" collapsed="false">
      <c r="B56" s="38"/>
      <c r="C56" s="39"/>
      <c r="D56" s="53"/>
      <c r="E56" s="53"/>
      <c r="F56" s="53"/>
      <c r="G56" s="40"/>
    </row>
    <row r="57" customFormat="false" ht="12.75" hidden="false" customHeight="false" outlineLevel="0" collapsed="false">
      <c r="B57" s="3"/>
      <c r="C57" s="3"/>
      <c r="D57" s="52"/>
      <c r="E57" s="52"/>
      <c r="F57" s="52"/>
      <c r="G57" s="3"/>
    </row>
    <row r="58" customFormat="false" ht="12.75" hidden="false" customHeight="false" outlineLevel="0" collapsed="false">
      <c r="B58" s="51"/>
      <c r="C58" s="5"/>
      <c r="D58" s="5" t="s">
        <v>47</v>
      </c>
      <c r="E58" s="5" t="s">
        <v>57</v>
      </c>
      <c r="F58" s="5" t="s">
        <v>58</v>
      </c>
      <c r="G58" s="7" t="s">
        <v>59</v>
      </c>
    </row>
    <row r="59" customFormat="false" ht="12.75" hidden="false" customHeight="false" outlineLevel="0" collapsed="false">
      <c r="B59" s="9" t="n">
        <v>1</v>
      </c>
      <c r="C59" s="3" t="s">
        <v>60</v>
      </c>
      <c r="D59" s="3" t="n">
        <f aca="false">Accuracy!D3+273.15</f>
        <v>233.15</v>
      </c>
      <c r="E59" s="3" t="n">
        <f aca="false">LOOKUP(D59-273.15,C5:C40,D5:D40)</f>
        <v>188500</v>
      </c>
      <c r="F59" s="3" t="n">
        <f aca="false">LN(E59)</f>
        <v>12.1468532858702</v>
      </c>
      <c r="G59" s="11" t="n">
        <f aca="false">1/D59</f>
        <v>0.00428908428050611</v>
      </c>
    </row>
    <row r="60" customFormat="false" ht="12.75" hidden="false" customHeight="false" outlineLevel="0" collapsed="false">
      <c r="B60" s="9" t="n">
        <v>2</v>
      </c>
      <c r="C60" s="3" t="s">
        <v>66</v>
      </c>
      <c r="D60" s="3" t="n">
        <f aca="false">LOOKUP((D62-D59)/3+D59-273.15,C5:C40)+273.15</f>
        <v>283.15</v>
      </c>
      <c r="E60" s="3" t="n">
        <f aca="false">LOOKUP(D60-273.15,C5:C40,D5:D40)</f>
        <v>17960</v>
      </c>
      <c r="F60" s="3" t="n">
        <f aca="false">LN(E60)</f>
        <v>9.79590234185619</v>
      </c>
      <c r="G60" s="11" t="n">
        <f aca="false">1/D60</f>
        <v>0.00353169698039908</v>
      </c>
    </row>
    <row r="61" customFormat="false" ht="12.75" hidden="false" customHeight="false" outlineLevel="0" collapsed="false">
      <c r="B61" s="9" t="n">
        <v>3</v>
      </c>
      <c r="C61" s="3" t="s">
        <v>67</v>
      </c>
      <c r="D61" s="3" t="n">
        <f aca="false">LOOKUP((D62-D59)/3*2+D59-273.15,C5:C40)+273.15</f>
        <v>333.15</v>
      </c>
      <c r="E61" s="3" t="n">
        <f aca="false">LOOKUP(D61-273.15,C5:C40,D5:D40)</f>
        <v>3020</v>
      </c>
      <c r="F61" s="3" t="n">
        <f aca="false">LN(E61)</f>
        <v>8.01301211036892</v>
      </c>
      <c r="G61" s="11" t="n">
        <f aca="false">1/D61</f>
        <v>0.0030016509079994</v>
      </c>
    </row>
    <row r="62" customFormat="false" ht="12.75" hidden="false" customHeight="false" outlineLevel="0" collapsed="false">
      <c r="B62" s="9" t="n">
        <v>4</v>
      </c>
      <c r="C62" s="3" t="s">
        <v>62</v>
      </c>
      <c r="D62" s="3" t="n">
        <f aca="false">Accuracy!D4+273.15</f>
        <v>383.15</v>
      </c>
      <c r="E62" s="3" t="n">
        <f aca="false">LOOKUP(D62-273.15,C5:C40,D5:D40)</f>
        <v>757.6</v>
      </c>
      <c r="F62" s="3" t="n">
        <f aca="false">LN(E62)</f>
        <v>6.63015554187187</v>
      </c>
      <c r="G62" s="11" t="n">
        <f aca="false">1/D62</f>
        <v>0.00260994388620645</v>
      </c>
    </row>
    <row r="63" customFormat="false" ht="12.75" hidden="false" customHeight="false" outlineLevel="0" collapsed="false">
      <c r="B63" s="9"/>
      <c r="C63" s="3"/>
      <c r="D63" s="3"/>
      <c r="E63" s="3"/>
      <c r="F63" s="3"/>
      <c r="G63" s="11"/>
    </row>
    <row r="64" customFormat="false" ht="12.75" hidden="false" customHeight="false" outlineLevel="0" collapsed="false">
      <c r="B64" s="9" t="s">
        <v>68</v>
      </c>
      <c r="C64" s="3"/>
      <c r="D64" s="3" t="s">
        <v>63</v>
      </c>
      <c r="E64" s="3" t="s">
        <v>64</v>
      </c>
      <c r="F64" s="3" t="s">
        <v>65</v>
      </c>
      <c r="G64" s="11" t="s">
        <v>69</v>
      </c>
    </row>
    <row r="65" customFormat="false" ht="12.75" hidden="false" customHeight="false" outlineLevel="0" collapsed="false">
      <c r="B65" s="9"/>
      <c r="C65" s="3"/>
      <c r="D65" s="3" t="n">
        <f aca="false">F59-E65*G59-F65*G59^2-G65*G59^3</f>
        <v>-4.22127873886709</v>
      </c>
      <c r="E65" s="3" t="n">
        <f aca="false">((F60-F59)-F65*(G60^2-G59^2)-G65*(G60^3-G59^3))/(G60-G59)</f>
        <v>4681.16737811254</v>
      </c>
      <c r="F65" s="3" t="n">
        <f aca="false">((F61-F59)-(F60-F59)*(G61-G59)/(G60-G59)-G65*((G61^3-G59^3)-(G60^3-G59^3)*(G61-G59)/(G60-G59)))/((G61^2-G59^2)-(G60^2-G59^2)*(G61-G59)/(G60-G59))</f>
        <v>-201660.151024125</v>
      </c>
      <c r="G65" s="11" t="n">
        <f aca="false">((F62-F59)-(F60-F59)*(G62-G59)/(G60-G59)-((F61-F59)-(F60-F59)*(G61-G59)/(G60-G59))*((G62^2-G59^2)-(G60^2-G59^2)*(G62-G59)/(G60-G59))/((G61^2-G59^2)-(G60^2-G59^2)*(G61-G59)/(G60-G59)))/((G62^3-G59^3)-(G60^3-G59^3)*(G62-G59)/(G60-G59)-((G61^3-G59^3)-(G60^3-G59^3)*(G61-G59)/(G60-G59))/((G61^2-G59^2)-(G60^2-G59^2)*(G61-G59)/(G60-G59)))</f>
        <v>-0.694868967088291</v>
      </c>
    </row>
    <row r="66" customFormat="false" ht="12.75" hidden="false" customHeight="false" outlineLevel="0" collapsed="false">
      <c r="B66" s="9"/>
      <c r="C66" s="3"/>
      <c r="D66" s="3"/>
      <c r="E66" s="3"/>
      <c r="F66" s="3"/>
      <c r="G66" s="11"/>
    </row>
    <row r="67" customFormat="false" ht="12.75" hidden="false" customHeight="false" outlineLevel="0" collapsed="false">
      <c r="B67" s="9"/>
      <c r="C67" s="3"/>
      <c r="D67" s="3"/>
      <c r="E67" s="3"/>
      <c r="F67" s="3"/>
      <c r="G67" s="11"/>
    </row>
    <row r="68" customFormat="false" ht="12.75" hidden="false" customHeight="false" outlineLevel="0" collapsed="false">
      <c r="B68" s="38"/>
      <c r="C68" s="39"/>
      <c r="D68" s="39"/>
      <c r="E68" s="39"/>
      <c r="F68" s="39"/>
      <c r="G68" s="4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AS64"/>
  <sheetViews>
    <sheetView showFormulas="false" showGridLines="true" showRowColHeaders="true" showZeros="true" rightToLeft="false" tabSelected="false" showOutlineSymbols="true" defaultGridColor="true" view="normal" topLeftCell="D1" colorId="64" zoomScale="120" zoomScaleNormal="120" zoomScalePageLayoutView="100" workbookViewId="0">
      <selection pane="topLeft" activeCell="AC5" activeCellId="0" sqref="AC5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9" min="29" style="0" width="10.29"/>
    <col collapsed="false" customWidth="true" hidden="false" outlineLevel="0" max="30" min="30" style="0" width="11.43"/>
    <col collapsed="false" customWidth="true" hidden="false" outlineLevel="0" max="48" min="48" style="0" width="13.15"/>
  </cols>
  <sheetData>
    <row r="2" customFormat="false" ht="12.75" hidden="false" customHeight="false" outlineLevel="0" collapsed="false">
      <c r="I2" s="0" t="s">
        <v>70</v>
      </c>
      <c r="L2" s="0" t="s">
        <v>71</v>
      </c>
      <c r="M2" s="0" t="s">
        <v>71</v>
      </c>
      <c r="N2" s="0" t="s">
        <v>72</v>
      </c>
      <c r="O2" s="0" t="s">
        <v>72</v>
      </c>
      <c r="T2" s="0" t="s">
        <v>71</v>
      </c>
      <c r="U2" s="0" t="s">
        <v>71</v>
      </c>
      <c r="V2" s="0" t="s">
        <v>72</v>
      </c>
      <c r="W2" s="0" t="s">
        <v>72</v>
      </c>
    </row>
    <row r="3" customFormat="false" ht="12.75" hidden="false" customHeight="false" outlineLevel="0" collapsed="false">
      <c r="I3" s="0" t="s">
        <v>45</v>
      </c>
      <c r="L3" s="0" t="s">
        <v>73</v>
      </c>
      <c r="M3" s="0" t="s">
        <v>74</v>
      </c>
      <c r="N3" s="0" t="s">
        <v>73</v>
      </c>
      <c r="O3" s="0" t="s">
        <v>74</v>
      </c>
      <c r="T3" s="0" t="s">
        <v>73</v>
      </c>
      <c r="U3" s="0" t="s">
        <v>74</v>
      </c>
      <c r="V3" s="0" t="s">
        <v>73</v>
      </c>
      <c r="W3" s="0" t="s">
        <v>74</v>
      </c>
    </row>
    <row r="4" customFormat="false" ht="12.75" hidden="false" customHeight="false" outlineLevel="0" collapsed="false">
      <c r="C4" s="26" t="s">
        <v>45</v>
      </c>
      <c r="D4" s="26" t="s">
        <v>46</v>
      </c>
      <c r="E4" s="26" t="str">
        <f aca="false">Thermistor!T4</f>
        <v>Therm Min</v>
      </c>
      <c r="F4" s="26" t="str">
        <f aca="false">Thermistor!U4</f>
        <v>Therm Max</v>
      </c>
      <c r="G4" s="35"/>
      <c r="H4" s="35"/>
      <c r="I4" s="35" t="s">
        <v>75</v>
      </c>
      <c r="K4" s="0" t="s">
        <v>76</v>
      </c>
      <c r="P4" s="0" t="s">
        <v>77</v>
      </c>
      <c r="Q4" s="0" t="s">
        <v>78</v>
      </c>
      <c r="S4" s="0" t="s">
        <v>79</v>
      </c>
      <c r="X4" s="0" t="s">
        <v>80</v>
      </c>
      <c r="Y4" s="0" t="s">
        <v>81</v>
      </c>
      <c r="AB4" s="0" t="s">
        <v>82</v>
      </c>
      <c r="AC4" s="0" t="s">
        <v>83</v>
      </c>
      <c r="AD4" s="0" t="s">
        <v>84</v>
      </c>
    </row>
    <row r="5" customFormat="false" ht="12.75" hidden="false" customHeight="false" outlineLevel="0" collapsed="false">
      <c r="C5" s="26" t="n">
        <f aca="false">Accuracy!F4</f>
        <v>-40</v>
      </c>
      <c r="D5" s="26" t="n">
        <f aca="false">Accuracy!G4</f>
        <v>188500</v>
      </c>
      <c r="E5" s="54" t="n">
        <f aca="false">Thermistor!T5</f>
        <v>181214.704666179</v>
      </c>
      <c r="F5" s="54" t="n">
        <f aca="false">Thermistor!U5</f>
        <v>196058.575050233</v>
      </c>
      <c r="G5" s="44"/>
      <c r="H5" s="44" t="n">
        <v>0</v>
      </c>
      <c r="I5" s="44" t="n">
        <f aca="false">$I$42+H5*$I$44</f>
        <v>-40</v>
      </c>
      <c r="K5" s="0" t="n">
        <f aca="false">Accuracy!$D$12</f>
        <v>18000</v>
      </c>
      <c r="L5" s="49" t="n">
        <f aca="false">Accuracy!$D$12*(1-Accuracy!$D$14)*(1-Accuracy!$D$16*('Resistor Network'!I5-25))</f>
        <v>17820</v>
      </c>
      <c r="M5" s="49" t="n">
        <f aca="false">Accuracy!$D$12*(1-Accuracy!$D$14)*(1+Accuracy!$D$16*('Resistor Network'!I5-25))</f>
        <v>17820</v>
      </c>
      <c r="N5" s="49" t="n">
        <f aca="false">Accuracy!$D$12*(1+Accuracy!$D$14)*(1-Accuracy!$D$16*('Resistor Network'!I5-25))</f>
        <v>18180</v>
      </c>
      <c r="O5" s="49" t="n">
        <f aca="false">Accuracy!$D$12*(1+Accuracy!$D$14)*(1+Accuracy!$D$16*('Resistor Network'!I5-25))</f>
        <v>18180</v>
      </c>
      <c r="P5" s="49" t="n">
        <f aca="false">MINA(L5:O5)</f>
        <v>17820</v>
      </c>
      <c r="Q5" s="49" t="n">
        <f aca="false">MAX(L5:O5)</f>
        <v>18180</v>
      </c>
      <c r="S5" s="0" t="n">
        <f aca="false">Accuracy!$D$19</f>
        <v>0</v>
      </c>
      <c r="T5" s="49" t="n">
        <f aca="false">Accuracy!$D$19*(1-Accuracy!$D$21)*(1-Accuracy!$D$23*('Resistor Network'!I5-25))</f>
        <v>0</v>
      </c>
      <c r="U5" s="49" t="n">
        <f aca="false">Accuracy!$D$19*(1-Accuracy!$D$21)*(1+Accuracy!$D$23*('Resistor Network'!I5-25))</f>
        <v>0</v>
      </c>
      <c r="V5" s="49" t="n">
        <f aca="false">Accuracy!$D$19*(1+Accuracy!$D$21)*(1-Accuracy!$D$23*('Resistor Network'!I5-25))</f>
        <v>0</v>
      </c>
      <c r="W5" s="49" t="n">
        <f aca="false">Accuracy!$D$19*(1-Accuracy!$D$21)*(1+Accuracy!$D$23*('Resistor Network'!I5-25))</f>
        <v>0</v>
      </c>
      <c r="X5" s="49" t="n">
        <f aca="false">MINA(T5:W5)</f>
        <v>0</v>
      </c>
      <c r="Y5" s="49" t="n">
        <f aca="false">MAX(T5:W5)</f>
        <v>0</v>
      </c>
      <c r="AB5" s="46" t="n">
        <f aca="false">(D5+S5)/(D5+S5+K5)</f>
        <v>0.912832929782082</v>
      </c>
      <c r="AC5" s="46" t="n">
        <f aca="false">(E5+X5)/(E5+X5+Q5)</f>
        <v>0.908824058139175</v>
      </c>
      <c r="AD5" s="46" t="n">
        <f aca="false">(F5+Y5)/(F5+Y5+P5)</f>
        <v>0.916681696631771</v>
      </c>
      <c r="AE5" s="46"/>
      <c r="AF5" s="46"/>
      <c r="AH5" s="50"/>
      <c r="AI5" s="55"/>
      <c r="AJ5" s="50"/>
      <c r="AL5" s="49"/>
      <c r="AM5" s="49"/>
      <c r="AN5" s="49"/>
      <c r="AP5" s="46"/>
    </row>
    <row r="6" customFormat="false" ht="12.75" hidden="false" customHeight="false" outlineLevel="0" collapsed="false">
      <c r="C6" s="26" t="n">
        <f aca="false">Accuracy!F5</f>
        <v>-35</v>
      </c>
      <c r="D6" s="26" t="n">
        <f aca="false">Accuracy!G5</f>
        <v>144100</v>
      </c>
      <c r="E6" s="54" t="n">
        <f aca="false">Thermistor!T6</f>
        <v>138903.291037186</v>
      </c>
      <c r="F6" s="54" t="n">
        <f aca="false">Thermistor!U6</f>
        <v>149476.181334261</v>
      </c>
      <c r="G6" s="44"/>
      <c r="H6" s="44" t="n">
        <v>1</v>
      </c>
      <c r="I6" s="44" t="n">
        <f aca="false">$I$42+H6*$I$44</f>
        <v>-38.6666666666667</v>
      </c>
      <c r="K6" s="0" t="n">
        <f aca="false">Accuracy!$D$12</f>
        <v>18000</v>
      </c>
      <c r="L6" s="49" t="n">
        <f aca="false">Accuracy!$D$12*(1-Accuracy!$D$14)*(1-Accuracy!$D$16*('Resistor Network'!I6-25))</f>
        <v>17820</v>
      </c>
      <c r="M6" s="49" t="n">
        <f aca="false">Accuracy!$D$12*(1-Accuracy!$D$14)*(1+Accuracy!$D$16*('Resistor Network'!I6-25))</f>
        <v>17820</v>
      </c>
      <c r="N6" s="49" t="n">
        <f aca="false">Accuracy!$D$12*(1+Accuracy!$D$14)*(1-Accuracy!$D$16*('Resistor Network'!I6-25))</f>
        <v>18180</v>
      </c>
      <c r="O6" s="49" t="n">
        <f aca="false">Accuracy!$D$12*(1+Accuracy!$D$14)*(1+Accuracy!$D$16*('Resistor Network'!I6-25))</f>
        <v>18180</v>
      </c>
      <c r="P6" s="49" t="n">
        <f aca="false">MINA(L6:O6)</f>
        <v>17820</v>
      </c>
      <c r="Q6" s="49" t="n">
        <f aca="false">MAX(L6:O6)</f>
        <v>18180</v>
      </c>
      <c r="S6" s="0" t="n">
        <f aca="false">Accuracy!$D$19</f>
        <v>0</v>
      </c>
      <c r="T6" s="49" t="n">
        <f aca="false">Accuracy!$D$19*(1-Accuracy!$D$21)*(1-Accuracy!$D$23*('Resistor Network'!I6-25))</f>
        <v>0</v>
      </c>
      <c r="U6" s="49" t="n">
        <f aca="false">Accuracy!$D$19*(1-Accuracy!$D$21)*(1+Accuracy!$D$23*('Resistor Network'!I6-25))</f>
        <v>0</v>
      </c>
      <c r="V6" s="49" t="n">
        <f aca="false">Accuracy!$D$19*(1+Accuracy!$D$21)*(1-Accuracy!$D$23*('Resistor Network'!I6-25))</f>
        <v>0</v>
      </c>
      <c r="W6" s="49" t="n">
        <f aca="false">Accuracy!$D$19*(1-Accuracy!$D$21)*(1+Accuracy!$D$23*('Resistor Network'!I6-25))</f>
        <v>0</v>
      </c>
      <c r="X6" s="49" t="n">
        <f aca="false">MINA(T6:W6)</f>
        <v>0</v>
      </c>
      <c r="Y6" s="49" t="n">
        <f aca="false">MAX(T6:W6)</f>
        <v>0</v>
      </c>
      <c r="AB6" s="46" t="n">
        <f aca="false">(D6+S6)/(D6+S6+K6)</f>
        <v>0.888957433682912</v>
      </c>
      <c r="AC6" s="46" t="n">
        <f aca="false">(E6+X6)/(E6+X6+Q6)</f>
        <v>0.884265220826725</v>
      </c>
      <c r="AD6" s="46" t="n">
        <f aca="false">(F6+Y6)/(F6+Y6+P6)</f>
        <v>0.89348232662648</v>
      </c>
      <c r="AE6" s="46"/>
      <c r="AF6" s="46"/>
      <c r="AH6" s="50"/>
      <c r="AI6" s="55"/>
      <c r="AJ6" s="50"/>
      <c r="AL6" s="49"/>
      <c r="AM6" s="49"/>
      <c r="AN6" s="49"/>
      <c r="AP6" s="46"/>
    </row>
    <row r="7" customFormat="false" ht="12.75" hidden="false" customHeight="false" outlineLevel="0" collapsed="false">
      <c r="C7" s="26" t="n">
        <f aca="false">Accuracy!F6</f>
        <v>-30</v>
      </c>
      <c r="D7" s="26" t="n">
        <f aca="false">Accuracy!G6</f>
        <v>111300</v>
      </c>
      <c r="E7" s="54" t="n">
        <f aca="false">Thermistor!T7</f>
        <v>107563.619387612</v>
      </c>
      <c r="F7" s="54" t="n">
        <f aca="false">Thermistor!U7</f>
        <v>115154.65267457</v>
      </c>
      <c r="G7" s="44"/>
      <c r="H7" s="44" t="n">
        <v>2</v>
      </c>
      <c r="I7" s="44" t="n">
        <f aca="false">$I$42+H7*$I$44</f>
        <v>-37.3333333333333</v>
      </c>
      <c r="K7" s="0" t="n">
        <f aca="false">Accuracy!$D$12</f>
        <v>18000</v>
      </c>
      <c r="L7" s="49" t="n">
        <f aca="false">Accuracy!$D$12*(1-Accuracy!$D$14)*(1-Accuracy!$D$16*('Resistor Network'!I7-25))</f>
        <v>17820</v>
      </c>
      <c r="M7" s="49" t="n">
        <f aca="false">Accuracy!$D$12*(1-Accuracy!$D$14)*(1+Accuracy!$D$16*('Resistor Network'!I7-25))</f>
        <v>17820</v>
      </c>
      <c r="N7" s="49" t="n">
        <f aca="false">Accuracy!$D$12*(1+Accuracy!$D$14)*(1-Accuracy!$D$16*('Resistor Network'!I7-25))</f>
        <v>18180</v>
      </c>
      <c r="O7" s="49" t="n">
        <f aca="false">Accuracy!$D$12*(1+Accuracy!$D$14)*(1+Accuracy!$D$16*('Resistor Network'!I7-25))</f>
        <v>18180</v>
      </c>
      <c r="P7" s="49" t="n">
        <f aca="false">MINA(L7:O7)</f>
        <v>17820</v>
      </c>
      <c r="Q7" s="49" t="n">
        <f aca="false">MAX(L7:O7)</f>
        <v>18180</v>
      </c>
      <c r="S7" s="0" t="n">
        <f aca="false">Accuracy!$D$19</f>
        <v>0</v>
      </c>
      <c r="T7" s="49" t="n">
        <f aca="false">Accuracy!$D$19*(1-Accuracy!$D$21)*(1-Accuracy!$D$23*('Resistor Network'!I7-25))</f>
        <v>0</v>
      </c>
      <c r="U7" s="49" t="n">
        <f aca="false">Accuracy!$D$19*(1-Accuracy!$D$21)*(1+Accuracy!$D$23*('Resistor Network'!I7-25))</f>
        <v>0</v>
      </c>
      <c r="V7" s="49" t="n">
        <f aca="false">Accuracy!$D$19*(1+Accuracy!$D$21)*(1-Accuracy!$D$23*('Resistor Network'!I7-25))</f>
        <v>0</v>
      </c>
      <c r="W7" s="49" t="n">
        <f aca="false">Accuracy!$D$19*(1-Accuracy!$D$21)*(1+Accuracy!$D$23*('Resistor Network'!I7-25))</f>
        <v>0</v>
      </c>
      <c r="X7" s="49" t="n">
        <f aca="false">MINA(T7:W7)</f>
        <v>0</v>
      </c>
      <c r="Y7" s="49" t="n">
        <f aca="false">MAX(T7:W7)</f>
        <v>0</v>
      </c>
      <c r="AB7" s="46" t="n">
        <f aca="false">(D7+S7)/(D7+S7+K7)</f>
        <v>0.860788863109049</v>
      </c>
      <c r="AC7" s="46" t="n">
        <f aca="false">(E7+X7)/(E7+X7+Q7)</f>
        <v>0.855420099337533</v>
      </c>
      <c r="AD7" s="46" t="n">
        <f aca="false">(F7+Y7)/(F7+Y7+P7)</f>
        <v>0.865989497685614</v>
      </c>
      <c r="AE7" s="46"/>
      <c r="AF7" s="46"/>
      <c r="AH7" s="50"/>
      <c r="AI7" s="55"/>
      <c r="AJ7" s="50"/>
      <c r="AL7" s="49"/>
      <c r="AM7" s="49"/>
      <c r="AN7" s="49"/>
      <c r="AP7" s="46"/>
    </row>
    <row r="8" customFormat="false" ht="12.75" hidden="false" customHeight="false" outlineLevel="0" collapsed="false">
      <c r="C8" s="26" t="n">
        <f aca="false">Accuracy!F7</f>
        <v>-25</v>
      </c>
      <c r="D8" s="26" t="n">
        <f aca="false">Accuracy!G7</f>
        <v>86430</v>
      </c>
      <c r="E8" s="54" t="n">
        <f aca="false">Thermistor!T8</f>
        <v>83740.0204218725</v>
      </c>
      <c r="F8" s="54" t="n">
        <f aca="false">Thermistor!U8</f>
        <v>89197.4691178727</v>
      </c>
      <c r="G8" s="44"/>
      <c r="H8" s="44" t="n">
        <v>3</v>
      </c>
      <c r="I8" s="44" t="n">
        <f aca="false">$I$42+H8*$I$44</f>
        <v>-36</v>
      </c>
      <c r="K8" s="0" t="n">
        <f aca="false">Accuracy!$D$12</f>
        <v>18000</v>
      </c>
      <c r="L8" s="49" t="n">
        <f aca="false">Accuracy!$D$12*(1-Accuracy!$D$14)*(1-Accuracy!$D$16*('Resistor Network'!I8-25))</f>
        <v>17820</v>
      </c>
      <c r="M8" s="49" t="n">
        <f aca="false">Accuracy!$D$12*(1-Accuracy!$D$14)*(1+Accuracy!$D$16*('Resistor Network'!I8-25))</f>
        <v>17820</v>
      </c>
      <c r="N8" s="49" t="n">
        <f aca="false">Accuracy!$D$12*(1+Accuracy!$D$14)*(1-Accuracy!$D$16*('Resistor Network'!I8-25))</f>
        <v>18180</v>
      </c>
      <c r="O8" s="49" t="n">
        <f aca="false">Accuracy!$D$12*(1+Accuracy!$D$14)*(1+Accuracy!$D$16*('Resistor Network'!I8-25))</f>
        <v>18180</v>
      </c>
      <c r="P8" s="49" t="n">
        <f aca="false">MINA(L8:O8)</f>
        <v>17820</v>
      </c>
      <c r="Q8" s="49" t="n">
        <f aca="false">MAX(L8:O8)</f>
        <v>18180</v>
      </c>
      <c r="S8" s="0" t="n">
        <f aca="false">Accuracy!$D$19</f>
        <v>0</v>
      </c>
      <c r="T8" s="49" t="n">
        <f aca="false">Accuracy!$D$19*(1-Accuracy!$D$21)*(1-Accuracy!$D$23*('Resistor Network'!I8-25))</f>
        <v>0</v>
      </c>
      <c r="U8" s="49" t="n">
        <f aca="false">Accuracy!$D$19*(1-Accuracy!$D$21)*(1+Accuracy!$D$23*('Resistor Network'!I8-25))</f>
        <v>0</v>
      </c>
      <c r="V8" s="49" t="n">
        <f aca="false">Accuracy!$D$19*(1+Accuracy!$D$21)*(1-Accuracy!$D$23*('Resistor Network'!I8-25))</f>
        <v>0</v>
      </c>
      <c r="W8" s="49" t="n">
        <f aca="false">Accuracy!$D$19*(1-Accuracy!$D$21)*(1+Accuracy!$D$23*('Resistor Network'!I8-25))</f>
        <v>0</v>
      </c>
      <c r="X8" s="49" t="n">
        <f aca="false">MINA(T8:W8)</f>
        <v>0</v>
      </c>
      <c r="Y8" s="49" t="n">
        <f aca="false">MAX(T8:W8)</f>
        <v>0</v>
      </c>
      <c r="AB8" s="46" t="n">
        <f aca="false">(D8+S8)/(D8+S8+K8)</f>
        <v>0.827635736857225</v>
      </c>
      <c r="AC8" s="46" t="n">
        <f aca="false">(E8+X8)/(E8+X8+Q8)</f>
        <v>0.821624839508976</v>
      </c>
      <c r="AD8" s="46" t="n">
        <f aca="false">(F8+Y8)/(F8+Y8+P8)</f>
        <v>0.833485129606528</v>
      </c>
      <c r="AE8" s="46"/>
      <c r="AF8" s="46"/>
      <c r="AH8" s="50"/>
      <c r="AI8" s="55"/>
      <c r="AJ8" s="50"/>
      <c r="AL8" s="49"/>
      <c r="AM8" s="49"/>
      <c r="AN8" s="49"/>
      <c r="AP8" s="46"/>
    </row>
    <row r="9" customFormat="false" ht="12.75" hidden="false" customHeight="false" outlineLevel="0" collapsed="false">
      <c r="C9" s="26" t="n">
        <f aca="false">Accuracy!F8</f>
        <v>-20</v>
      </c>
      <c r="D9" s="26" t="n">
        <f aca="false">Accuracy!G8</f>
        <v>67770</v>
      </c>
      <c r="E9" s="54" t="n">
        <f aca="false">Thermistor!T9</f>
        <v>65820.671006581</v>
      </c>
      <c r="F9" s="54" t="n">
        <f aca="false">Thermistor!U9</f>
        <v>69770.0821410776</v>
      </c>
      <c r="G9" s="44"/>
      <c r="H9" s="44" t="n">
        <v>4</v>
      </c>
      <c r="I9" s="44" t="n">
        <f aca="false">$I$42+H9*$I$44</f>
        <v>-34.6666666666667</v>
      </c>
      <c r="K9" s="0" t="n">
        <f aca="false">Accuracy!$D$12</f>
        <v>18000</v>
      </c>
      <c r="L9" s="49" t="n">
        <f aca="false">Accuracy!$D$12*(1-Accuracy!$D$14)*(1-Accuracy!$D$16*('Resistor Network'!I9-25))</f>
        <v>17820</v>
      </c>
      <c r="M9" s="49" t="n">
        <f aca="false">Accuracy!$D$12*(1-Accuracy!$D$14)*(1+Accuracy!$D$16*('Resistor Network'!I9-25))</f>
        <v>17820</v>
      </c>
      <c r="N9" s="49" t="n">
        <f aca="false">Accuracy!$D$12*(1+Accuracy!$D$14)*(1-Accuracy!$D$16*('Resistor Network'!I9-25))</f>
        <v>18180</v>
      </c>
      <c r="O9" s="49" t="n">
        <f aca="false">Accuracy!$D$12*(1+Accuracy!$D$14)*(1+Accuracy!$D$16*('Resistor Network'!I9-25))</f>
        <v>18180</v>
      </c>
      <c r="P9" s="49" t="n">
        <f aca="false">MINA(L9:O9)</f>
        <v>17820</v>
      </c>
      <c r="Q9" s="49" t="n">
        <f aca="false">MAX(L9:O9)</f>
        <v>18180</v>
      </c>
      <c r="S9" s="0" t="n">
        <f aca="false">Accuracy!$D$19</f>
        <v>0</v>
      </c>
      <c r="T9" s="49" t="n">
        <f aca="false">Accuracy!$D$19*(1-Accuracy!$D$21)*(1-Accuracy!$D$23*('Resistor Network'!I9-25))</f>
        <v>0</v>
      </c>
      <c r="U9" s="49" t="n">
        <f aca="false">Accuracy!$D$19*(1-Accuracy!$D$21)*(1+Accuracy!$D$23*('Resistor Network'!I9-25))</f>
        <v>0</v>
      </c>
      <c r="V9" s="49" t="n">
        <f aca="false">Accuracy!$D$19*(1+Accuracy!$D$21)*(1-Accuracy!$D$23*('Resistor Network'!I9-25))</f>
        <v>0</v>
      </c>
      <c r="W9" s="49" t="n">
        <f aca="false">Accuracy!$D$19*(1-Accuracy!$D$21)*(1+Accuracy!$D$23*('Resistor Network'!I9-25))</f>
        <v>0</v>
      </c>
      <c r="X9" s="49" t="n">
        <f aca="false">MINA(T9:W9)</f>
        <v>0</v>
      </c>
      <c r="Y9" s="49" t="n">
        <f aca="false">MAX(T9:W9)</f>
        <v>0</v>
      </c>
      <c r="AB9" s="46" t="n">
        <f aca="false">(D9+S9)/(D9+S9+K9)</f>
        <v>0.790136411332634</v>
      </c>
      <c r="AC9" s="46" t="n">
        <f aca="false">(E9+X9)/(E9+X9+Q9)</f>
        <v>0.783573157426615</v>
      </c>
      <c r="AD9" s="46" t="n">
        <f aca="false">(F9+Y9)/(F9+Y9+P9)</f>
        <v>0.796552308612999</v>
      </c>
      <c r="AE9" s="46"/>
      <c r="AF9" s="46"/>
      <c r="AH9" s="50"/>
      <c r="AI9" s="55"/>
      <c r="AJ9" s="50"/>
      <c r="AL9" s="49"/>
      <c r="AM9" s="49"/>
      <c r="AN9" s="49"/>
      <c r="AP9" s="46"/>
    </row>
    <row r="10" customFormat="false" ht="12.75" hidden="false" customHeight="false" outlineLevel="0" collapsed="false">
      <c r="C10" s="26" t="n">
        <f aca="false">Accuracy!F9</f>
        <v>-15</v>
      </c>
      <c r="D10" s="26" t="n">
        <f aca="false">Accuracy!G9</f>
        <v>53410</v>
      </c>
      <c r="E10" s="54" t="n">
        <f aca="false">Thermistor!T10</f>
        <v>51997.3902324565</v>
      </c>
      <c r="F10" s="54" t="n">
        <f aca="false">Thermistor!U10</f>
        <v>54855.499947949</v>
      </c>
      <c r="G10" s="44"/>
      <c r="H10" s="44" t="n">
        <v>5</v>
      </c>
      <c r="I10" s="44" t="n">
        <f aca="false">$I$42+H10*$I$44</f>
        <v>-33.3333333333333</v>
      </c>
      <c r="K10" s="0" t="n">
        <f aca="false">Accuracy!$D$12</f>
        <v>18000</v>
      </c>
      <c r="L10" s="49" t="n">
        <f aca="false">Accuracy!$D$12*(1-Accuracy!$D$14)*(1-Accuracy!$D$16*('Resistor Network'!I10-25))</f>
        <v>17820</v>
      </c>
      <c r="M10" s="49" t="n">
        <f aca="false">Accuracy!$D$12*(1-Accuracy!$D$14)*(1+Accuracy!$D$16*('Resistor Network'!I10-25))</f>
        <v>17820</v>
      </c>
      <c r="N10" s="49" t="n">
        <f aca="false">Accuracy!$D$12*(1+Accuracy!$D$14)*(1-Accuracy!$D$16*('Resistor Network'!I10-25))</f>
        <v>18180</v>
      </c>
      <c r="O10" s="49" t="n">
        <f aca="false">Accuracy!$D$12*(1+Accuracy!$D$14)*(1+Accuracy!$D$16*('Resistor Network'!I10-25))</f>
        <v>18180</v>
      </c>
      <c r="P10" s="49" t="n">
        <f aca="false">MINA(L10:O10)</f>
        <v>17820</v>
      </c>
      <c r="Q10" s="49" t="n">
        <f aca="false">MAX(L10:O10)</f>
        <v>18180</v>
      </c>
      <c r="S10" s="0" t="n">
        <f aca="false">Accuracy!$D$19</f>
        <v>0</v>
      </c>
      <c r="T10" s="49" t="n">
        <f aca="false">Accuracy!$D$19*(1-Accuracy!$D$21)*(1-Accuracy!$D$23*('Resistor Network'!I10-25))</f>
        <v>0</v>
      </c>
      <c r="U10" s="49" t="n">
        <f aca="false">Accuracy!$D$19*(1-Accuracy!$D$21)*(1+Accuracy!$D$23*('Resistor Network'!I10-25))</f>
        <v>0</v>
      </c>
      <c r="V10" s="49" t="n">
        <f aca="false">Accuracy!$D$19*(1+Accuracy!$D$21)*(1-Accuracy!$D$23*('Resistor Network'!I10-25))</f>
        <v>0</v>
      </c>
      <c r="W10" s="49" t="n">
        <f aca="false">Accuracy!$D$19*(1-Accuracy!$D$21)*(1+Accuracy!$D$23*('Resistor Network'!I10-25))</f>
        <v>0</v>
      </c>
      <c r="X10" s="49" t="n">
        <f aca="false">MINA(T10:W10)</f>
        <v>0</v>
      </c>
      <c r="Y10" s="49" t="n">
        <f aca="false">MAX(T10:W10)</f>
        <v>0</v>
      </c>
      <c r="AB10" s="46" t="n">
        <f aca="false">(D10+S10)/(D10+S10+K10)</f>
        <v>0.74793446296037</v>
      </c>
      <c r="AC10" s="46" t="n">
        <f aca="false">(E10+X10)/(E10+X10+Q10)</f>
        <v>0.740942204607776</v>
      </c>
      <c r="AD10" s="46" t="n">
        <f aca="false">(F10+Y10)/(F10+Y10+P10)</f>
        <v>0.754800448393711</v>
      </c>
      <c r="AE10" s="46"/>
      <c r="AF10" s="46"/>
      <c r="AH10" s="50"/>
      <c r="AI10" s="55"/>
      <c r="AJ10" s="50"/>
      <c r="AL10" s="49"/>
      <c r="AM10" s="49"/>
      <c r="AN10" s="49"/>
      <c r="AP10" s="46"/>
    </row>
    <row r="11" customFormat="false" ht="12.75" hidden="false" customHeight="false" outlineLevel="0" collapsed="false">
      <c r="C11" s="26" t="n">
        <f aca="false">Accuracy!F10</f>
        <v>-10</v>
      </c>
      <c r="D11" s="26" t="n">
        <f aca="false">Accuracy!G10</f>
        <v>42470</v>
      </c>
      <c r="E11" s="54" t="n">
        <f aca="false">Thermistor!T11</f>
        <v>41441.611301701</v>
      </c>
      <c r="F11" s="54" t="n">
        <f aca="false">Thermistor!U11</f>
        <v>43519.5561480491</v>
      </c>
      <c r="G11" s="44"/>
      <c r="H11" s="44" t="n">
        <v>6</v>
      </c>
      <c r="I11" s="44" t="n">
        <f aca="false">$I$42+H11*$I$44</f>
        <v>-32</v>
      </c>
      <c r="K11" s="0" t="n">
        <f aca="false">Accuracy!$D$12</f>
        <v>18000</v>
      </c>
      <c r="L11" s="49" t="n">
        <f aca="false">Accuracy!$D$12*(1-Accuracy!$D$14)*(1-Accuracy!$D$16*('Resistor Network'!I11-25))</f>
        <v>17820</v>
      </c>
      <c r="M11" s="49" t="n">
        <f aca="false">Accuracy!$D$12*(1-Accuracy!$D$14)*(1+Accuracy!$D$16*('Resistor Network'!I11-25))</f>
        <v>17820</v>
      </c>
      <c r="N11" s="49" t="n">
        <f aca="false">Accuracy!$D$12*(1+Accuracy!$D$14)*(1-Accuracy!$D$16*('Resistor Network'!I11-25))</f>
        <v>18180</v>
      </c>
      <c r="O11" s="49" t="n">
        <f aca="false">Accuracy!$D$12*(1+Accuracy!$D$14)*(1+Accuracy!$D$16*('Resistor Network'!I11-25))</f>
        <v>18180</v>
      </c>
      <c r="P11" s="49" t="n">
        <f aca="false">MINA(L11:O11)</f>
        <v>17820</v>
      </c>
      <c r="Q11" s="49" t="n">
        <f aca="false">MAX(L11:O11)</f>
        <v>18180</v>
      </c>
      <c r="S11" s="0" t="n">
        <f aca="false">Accuracy!$D$19</f>
        <v>0</v>
      </c>
      <c r="T11" s="49" t="n">
        <f aca="false">Accuracy!$D$19*(1-Accuracy!$D$21)*(1-Accuracy!$D$23*('Resistor Network'!I11-25))</f>
        <v>0</v>
      </c>
      <c r="U11" s="49" t="n">
        <f aca="false">Accuracy!$D$19*(1-Accuracy!$D$21)*(1+Accuracy!$D$23*('Resistor Network'!I11-25))</f>
        <v>0</v>
      </c>
      <c r="V11" s="49" t="n">
        <f aca="false">Accuracy!$D$19*(1+Accuracy!$D$21)*(1-Accuracy!$D$23*('Resistor Network'!I11-25))</f>
        <v>0</v>
      </c>
      <c r="W11" s="49" t="n">
        <f aca="false">Accuracy!$D$19*(1-Accuracy!$D$21)*(1+Accuracy!$D$23*('Resistor Network'!I11-25))</f>
        <v>0</v>
      </c>
      <c r="X11" s="49" t="n">
        <f aca="false">MINA(T11:W11)</f>
        <v>0</v>
      </c>
      <c r="Y11" s="49" t="n">
        <f aca="false">MAX(T11:W11)</f>
        <v>0</v>
      </c>
      <c r="AB11" s="46" t="n">
        <f aca="false">(D11+S11)/(D11+S11+K11)</f>
        <v>0.702331734744501</v>
      </c>
      <c r="AC11" s="46" t="n">
        <f aca="false">(E11+X11)/(E11+X11+Q11)</f>
        <v>0.695077009777471</v>
      </c>
      <c r="AD11" s="46" t="n">
        <f aca="false">(F11+Y11)/(F11+Y11+P11)</f>
        <v>0.709485996980649</v>
      </c>
      <c r="AE11" s="46"/>
      <c r="AF11" s="46"/>
      <c r="AH11" s="50"/>
      <c r="AI11" s="55"/>
      <c r="AJ11" s="50"/>
      <c r="AL11" s="49"/>
      <c r="AM11" s="49"/>
      <c r="AN11" s="49"/>
      <c r="AP11" s="46"/>
    </row>
    <row r="12" customFormat="false" ht="12.75" hidden="false" customHeight="false" outlineLevel="0" collapsed="false">
      <c r="C12" s="26" t="n">
        <f aca="false">Accuracy!F11</f>
        <v>-5</v>
      </c>
      <c r="D12" s="26" t="n">
        <f aca="false">Accuracy!G11</f>
        <v>33900</v>
      </c>
      <c r="E12" s="54" t="n">
        <f aca="false">Thermistor!T12</f>
        <v>33153.7681322216</v>
      </c>
      <c r="F12" s="54" t="n">
        <f aca="false">Thermistor!U12</f>
        <v>34659.5619061236</v>
      </c>
      <c r="G12" s="44"/>
      <c r="H12" s="44" t="n">
        <v>7</v>
      </c>
      <c r="I12" s="44" t="n">
        <f aca="false">$I$42+H12*$I$44</f>
        <v>-30.6666666666667</v>
      </c>
      <c r="K12" s="0" t="n">
        <f aca="false">Accuracy!$D$12</f>
        <v>18000</v>
      </c>
      <c r="L12" s="49" t="n">
        <f aca="false">Accuracy!$D$12*(1-Accuracy!$D$14)*(1-Accuracy!$D$16*('Resistor Network'!I12-25))</f>
        <v>17820</v>
      </c>
      <c r="M12" s="49" t="n">
        <f aca="false">Accuracy!$D$12*(1-Accuracy!$D$14)*(1+Accuracy!$D$16*('Resistor Network'!I12-25))</f>
        <v>17820</v>
      </c>
      <c r="N12" s="49" t="n">
        <f aca="false">Accuracy!$D$12*(1+Accuracy!$D$14)*(1-Accuracy!$D$16*('Resistor Network'!I12-25))</f>
        <v>18180</v>
      </c>
      <c r="O12" s="49" t="n">
        <f aca="false">Accuracy!$D$12*(1+Accuracy!$D$14)*(1+Accuracy!$D$16*('Resistor Network'!I12-25))</f>
        <v>18180</v>
      </c>
      <c r="P12" s="49" t="n">
        <f aca="false">MINA(L12:O12)</f>
        <v>17820</v>
      </c>
      <c r="Q12" s="49" t="n">
        <f aca="false">MAX(L12:O12)</f>
        <v>18180</v>
      </c>
      <c r="S12" s="0" t="n">
        <f aca="false">Accuracy!$D$19</f>
        <v>0</v>
      </c>
      <c r="T12" s="49" t="n">
        <f aca="false">Accuracy!$D$19*(1-Accuracy!$D$21)*(1-Accuracy!$D$23*('Resistor Network'!I12-25))</f>
        <v>0</v>
      </c>
      <c r="U12" s="49" t="n">
        <f aca="false">Accuracy!$D$19*(1-Accuracy!$D$21)*(1+Accuracy!$D$23*('Resistor Network'!I12-25))</f>
        <v>0</v>
      </c>
      <c r="V12" s="49" t="n">
        <f aca="false">Accuracy!$D$19*(1+Accuracy!$D$21)*(1-Accuracy!$D$23*('Resistor Network'!I12-25))</f>
        <v>0</v>
      </c>
      <c r="W12" s="49" t="n">
        <f aca="false">Accuracy!$D$19*(1-Accuracy!$D$21)*(1+Accuracy!$D$23*('Resistor Network'!I12-25))</f>
        <v>0</v>
      </c>
      <c r="X12" s="49" t="n">
        <f aca="false">MINA(T12:W12)</f>
        <v>0</v>
      </c>
      <c r="Y12" s="49" t="n">
        <f aca="false">MAX(T12:W12)</f>
        <v>0</v>
      </c>
      <c r="AB12" s="46" t="n">
        <f aca="false">(D12+S12)/(D12+S12+K12)</f>
        <v>0.653179190751445</v>
      </c>
      <c r="AC12" s="46" t="n">
        <f aca="false">(E12+X12)/(E12+X12+Q12)</f>
        <v>0.645847155557072</v>
      </c>
      <c r="AD12" s="46" t="n">
        <f aca="false">(F12+Y12)/(F12+Y12+P12)</f>
        <v>0.660439238576786</v>
      </c>
      <c r="AE12" s="46"/>
      <c r="AF12" s="46"/>
      <c r="AH12" s="50"/>
      <c r="AI12" s="55"/>
      <c r="AJ12" s="50"/>
      <c r="AL12" s="49"/>
      <c r="AM12" s="49"/>
      <c r="AN12" s="49"/>
      <c r="AP12" s="46"/>
    </row>
    <row r="13" customFormat="false" ht="12.75" hidden="false" customHeight="false" outlineLevel="0" collapsed="false">
      <c r="C13" s="26" t="n">
        <f aca="false">Accuracy!F12</f>
        <v>0</v>
      </c>
      <c r="D13" s="26" t="n">
        <f aca="false">Accuracy!G12</f>
        <v>27280</v>
      </c>
      <c r="E13" s="54" t="n">
        <f aca="false">Thermistor!T13</f>
        <v>26737.5196604499</v>
      </c>
      <c r="F13" s="54" t="n">
        <f aca="false">Thermistor!U13</f>
        <v>27830.7034313548</v>
      </c>
      <c r="G13" s="44"/>
      <c r="H13" s="44" t="n">
        <v>8</v>
      </c>
      <c r="I13" s="44" t="n">
        <f aca="false">$I$42+H13*$I$44</f>
        <v>-29.3333333333333</v>
      </c>
      <c r="K13" s="0" t="n">
        <f aca="false">Accuracy!$D$12</f>
        <v>18000</v>
      </c>
      <c r="L13" s="49" t="n">
        <f aca="false">Accuracy!$D$12*(1-Accuracy!$D$14)*(1-Accuracy!$D$16*('Resistor Network'!I13-25))</f>
        <v>17820</v>
      </c>
      <c r="M13" s="49" t="n">
        <f aca="false">Accuracy!$D$12*(1-Accuracy!$D$14)*(1+Accuracy!$D$16*('Resistor Network'!I13-25))</f>
        <v>17820</v>
      </c>
      <c r="N13" s="49" t="n">
        <f aca="false">Accuracy!$D$12*(1+Accuracy!$D$14)*(1-Accuracy!$D$16*('Resistor Network'!I13-25))</f>
        <v>18180</v>
      </c>
      <c r="O13" s="49" t="n">
        <f aca="false">Accuracy!$D$12*(1+Accuracy!$D$14)*(1+Accuracy!$D$16*('Resistor Network'!I13-25))</f>
        <v>18180</v>
      </c>
      <c r="P13" s="49" t="n">
        <f aca="false">MINA(L13:O13)</f>
        <v>17820</v>
      </c>
      <c r="Q13" s="49" t="n">
        <f aca="false">MAX(L13:O13)</f>
        <v>18180</v>
      </c>
      <c r="S13" s="0" t="n">
        <f aca="false">Accuracy!$D$19</f>
        <v>0</v>
      </c>
      <c r="T13" s="49" t="n">
        <f aca="false">Accuracy!$D$19*(1-Accuracy!$D$21)*(1-Accuracy!$D$23*('Resistor Network'!I13-25))</f>
        <v>0</v>
      </c>
      <c r="U13" s="49" t="n">
        <f aca="false">Accuracy!$D$19*(1-Accuracy!$D$21)*(1+Accuracy!$D$23*('Resistor Network'!I13-25))</f>
        <v>0</v>
      </c>
      <c r="V13" s="49" t="n">
        <f aca="false">Accuracy!$D$19*(1+Accuracy!$D$21)*(1-Accuracy!$D$23*('Resistor Network'!I13-25))</f>
        <v>0</v>
      </c>
      <c r="W13" s="49" t="n">
        <f aca="false">Accuracy!$D$19*(1-Accuracy!$D$21)*(1+Accuracy!$D$23*('Resistor Network'!I13-25))</f>
        <v>0</v>
      </c>
      <c r="X13" s="49" t="n">
        <f aca="false">MINA(T13:W13)</f>
        <v>0</v>
      </c>
      <c r="Y13" s="49" t="n">
        <f aca="false">MAX(T13:W13)</f>
        <v>0</v>
      </c>
      <c r="AB13" s="46" t="n">
        <f aca="false">(D13+S13)/(D13+S13+K13)</f>
        <v>0.602473498233216</v>
      </c>
      <c r="AC13" s="46" t="n">
        <f aca="false">(E13+X13)/(E13+X13+Q13)</f>
        <v>0.595258150106459</v>
      </c>
      <c r="AD13" s="46" t="n">
        <f aca="false">(F13+Y13)/(F13+Y13+P13)</f>
        <v>0.609644569293527</v>
      </c>
      <c r="AE13" s="46"/>
      <c r="AF13" s="46"/>
      <c r="AH13" s="50"/>
      <c r="AI13" s="55"/>
      <c r="AJ13" s="50"/>
      <c r="AL13" s="49"/>
      <c r="AM13" s="49"/>
      <c r="AN13" s="49"/>
      <c r="AP13" s="46"/>
    </row>
    <row r="14" customFormat="false" ht="12.75" hidden="false" customHeight="false" outlineLevel="0" collapsed="false">
      <c r="C14" s="26" t="n">
        <f aca="false">Accuracy!F13</f>
        <v>5</v>
      </c>
      <c r="D14" s="26" t="n">
        <f aca="false">Accuracy!G13</f>
        <v>22050</v>
      </c>
      <c r="E14" s="54" t="n">
        <f aca="false">Thermistor!T14</f>
        <v>21657.5687879722</v>
      </c>
      <c r="F14" s="54" t="n">
        <f aca="false">Thermistor!U14</f>
        <v>22447.2970400995</v>
      </c>
      <c r="G14" s="44"/>
      <c r="H14" s="44" t="n">
        <v>9</v>
      </c>
      <c r="I14" s="44" t="n">
        <f aca="false">$I$42+H14*$I$44</f>
        <v>-28</v>
      </c>
      <c r="K14" s="0" t="n">
        <f aca="false">Accuracy!$D$12</f>
        <v>18000</v>
      </c>
      <c r="L14" s="49" t="n">
        <f aca="false">Accuracy!$D$12*(1-Accuracy!$D$14)*(1-Accuracy!$D$16*('Resistor Network'!I14-25))</f>
        <v>17820</v>
      </c>
      <c r="M14" s="49" t="n">
        <f aca="false">Accuracy!$D$12*(1-Accuracy!$D$14)*(1+Accuracy!$D$16*('Resistor Network'!I14-25))</f>
        <v>17820</v>
      </c>
      <c r="N14" s="49" t="n">
        <f aca="false">Accuracy!$D$12*(1+Accuracy!$D$14)*(1-Accuracy!$D$16*('Resistor Network'!I14-25))</f>
        <v>18180</v>
      </c>
      <c r="O14" s="49" t="n">
        <f aca="false">Accuracy!$D$12*(1+Accuracy!$D$14)*(1+Accuracy!$D$16*('Resistor Network'!I14-25))</f>
        <v>18180</v>
      </c>
      <c r="P14" s="49" t="n">
        <f aca="false">MINA(L14:O14)</f>
        <v>17820</v>
      </c>
      <c r="Q14" s="49" t="n">
        <f aca="false">MAX(L14:O14)</f>
        <v>18180</v>
      </c>
      <c r="S14" s="0" t="n">
        <f aca="false">Accuracy!$D$19</f>
        <v>0</v>
      </c>
      <c r="T14" s="49" t="n">
        <f aca="false">Accuracy!$D$19*(1-Accuracy!$D$21)*(1-Accuracy!$D$23*('Resistor Network'!I14-25))</f>
        <v>0</v>
      </c>
      <c r="U14" s="49" t="n">
        <f aca="false">Accuracy!$D$19*(1-Accuracy!$D$21)*(1+Accuracy!$D$23*('Resistor Network'!I14-25))</f>
        <v>0</v>
      </c>
      <c r="V14" s="49" t="n">
        <f aca="false">Accuracy!$D$19*(1+Accuracy!$D$21)*(1-Accuracy!$D$23*('Resistor Network'!I14-25))</f>
        <v>0</v>
      </c>
      <c r="W14" s="49" t="n">
        <f aca="false">Accuracy!$D$19*(1-Accuracy!$D$21)*(1+Accuracy!$D$23*('Resistor Network'!I14-25))</f>
        <v>0</v>
      </c>
      <c r="X14" s="49" t="n">
        <f aca="false">MINA(T14:W14)</f>
        <v>0</v>
      </c>
      <c r="Y14" s="49" t="n">
        <f aca="false">MAX(T14:W14)</f>
        <v>0</v>
      </c>
      <c r="AB14" s="46" t="n">
        <f aca="false">(D14+S14)/(D14+S14+K14)</f>
        <v>0.550561797752809</v>
      </c>
      <c r="AC14" s="46" t="n">
        <f aca="false">(E14+X14)/(E14+X14+Q14)</f>
        <v>0.543646850118802</v>
      </c>
      <c r="AD14" s="46" t="n">
        <f aca="false">(F14+Y14)/(F14+Y14+P14)</f>
        <v>0.557457259118876</v>
      </c>
      <c r="AE14" s="46"/>
      <c r="AF14" s="46"/>
      <c r="AH14" s="50"/>
      <c r="AI14" s="55"/>
      <c r="AJ14" s="50"/>
      <c r="AL14" s="49"/>
      <c r="AM14" s="49"/>
      <c r="AN14" s="49"/>
      <c r="AP14" s="46"/>
    </row>
    <row r="15" customFormat="false" ht="12.75" hidden="false" customHeight="false" outlineLevel="0" collapsed="false">
      <c r="C15" s="26" t="n">
        <f aca="false">Accuracy!F14</f>
        <v>10</v>
      </c>
      <c r="D15" s="26" t="n">
        <f aca="false">Accuracy!G14</f>
        <v>17960</v>
      </c>
      <c r="E15" s="54" t="n">
        <f aca="false">Thermistor!T15</f>
        <v>17676.5889750737</v>
      </c>
      <c r="F15" s="54" t="n">
        <f aca="false">Thermistor!U15</f>
        <v>18246.1301948475</v>
      </c>
      <c r="G15" s="44"/>
      <c r="H15" s="44" t="n">
        <v>10</v>
      </c>
      <c r="I15" s="44" t="n">
        <f aca="false">$I$42+H15*$I$44</f>
        <v>-26.6666666666667</v>
      </c>
      <c r="K15" s="0" t="n">
        <f aca="false">Accuracy!$D$12</f>
        <v>18000</v>
      </c>
      <c r="L15" s="49" t="n">
        <f aca="false">Accuracy!$D$12*(1-Accuracy!$D$14)*(1-Accuracy!$D$16*('Resistor Network'!I15-25))</f>
        <v>17820</v>
      </c>
      <c r="M15" s="49" t="n">
        <f aca="false">Accuracy!$D$12*(1-Accuracy!$D$14)*(1+Accuracy!$D$16*('Resistor Network'!I15-25))</f>
        <v>17820</v>
      </c>
      <c r="N15" s="49" t="n">
        <f aca="false">Accuracy!$D$12*(1+Accuracy!$D$14)*(1-Accuracy!$D$16*('Resistor Network'!I15-25))</f>
        <v>18180</v>
      </c>
      <c r="O15" s="49" t="n">
        <f aca="false">Accuracy!$D$12*(1+Accuracy!$D$14)*(1+Accuracy!$D$16*('Resistor Network'!I15-25))</f>
        <v>18180</v>
      </c>
      <c r="P15" s="49" t="n">
        <f aca="false">MINA(L15:O15)</f>
        <v>17820</v>
      </c>
      <c r="Q15" s="49" t="n">
        <f aca="false">MAX(L15:O15)</f>
        <v>18180</v>
      </c>
      <c r="S15" s="0" t="n">
        <f aca="false">Accuracy!$D$19</f>
        <v>0</v>
      </c>
      <c r="T15" s="49" t="n">
        <f aca="false">Accuracy!$D$19*(1-Accuracy!$D$21)*(1-Accuracy!$D$23*('Resistor Network'!I15-25))</f>
        <v>0</v>
      </c>
      <c r="U15" s="49" t="n">
        <f aca="false">Accuracy!$D$19*(1-Accuracy!$D$21)*(1+Accuracy!$D$23*('Resistor Network'!I15-25))</f>
        <v>0</v>
      </c>
      <c r="V15" s="49" t="n">
        <f aca="false">Accuracy!$D$19*(1+Accuracy!$D$21)*(1-Accuracy!$D$23*('Resistor Network'!I15-25))</f>
        <v>0</v>
      </c>
      <c r="W15" s="49" t="n">
        <f aca="false">Accuracy!$D$19*(1-Accuracy!$D$21)*(1+Accuracy!$D$23*('Resistor Network'!I15-25))</f>
        <v>0</v>
      </c>
      <c r="X15" s="49" t="n">
        <f aca="false">MINA(T15:W15)</f>
        <v>0</v>
      </c>
      <c r="Y15" s="49" t="n">
        <f aca="false">MAX(T15:W15)</f>
        <v>0</v>
      </c>
      <c r="AB15" s="46" t="n">
        <f aca="false">(D15+S15)/(D15+S15+K15)</f>
        <v>0.49944382647386</v>
      </c>
      <c r="AC15" s="46" t="n">
        <f aca="false">(E15+X15)/(E15+X15+Q15)</f>
        <v>0.492980215919642</v>
      </c>
      <c r="AD15" s="46" t="n">
        <f aca="false">(F15+Y15)/(F15+Y15+P15)</f>
        <v>0.505907622921357</v>
      </c>
      <c r="AE15" s="46"/>
      <c r="AF15" s="46"/>
      <c r="AH15" s="50"/>
      <c r="AI15" s="55"/>
      <c r="AJ15" s="50"/>
      <c r="AL15" s="49"/>
      <c r="AM15" s="49"/>
      <c r="AN15" s="49"/>
      <c r="AP15" s="46"/>
    </row>
    <row r="16" customFormat="false" ht="12.75" hidden="false" customHeight="false" outlineLevel="0" collapsed="false">
      <c r="C16" s="26" t="n">
        <f aca="false">Accuracy!F15</f>
        <v>15</v>
      </c>
      <c r="D16" s="26" t="n">
        <f aca="false">Accuracy!G15</f>
        <v>14690</v>
      </c>
      <c r="E16" s="54" t="n">
        <f aca="false">Thermistor!T16</f>
        <v>14487.2772809485</v>
      </c>
      <c r="F16" s="54" t="n">
        <f aca="false">Thermistor!U16</f>
        <v>14894.0698935717</v>
      </c>
      <c r="G16" s="44"/>
      <c r="H16" s="44" t="n">
        <v>11</v>
      </c>
      <c r="I16" s="44" t="n">
        <f aca="false">$I$42+H16*$I$44</f>
        <v>-25.3333333333333</v>
      </c>
      <c r="K16" s="0" t="n">
        <f aca="false">Accuracy!$D$12</f>
        <v>18000</v>
      </c>
      <c r="L16" s="49" t="n">
        <f aca="false">Accuracy!$D$12*(1-Accuracy!$D$14)*(1-Accuracy!$D$16*('Resistor Network'!I16-25))</f>
        <v>17820</v>
      </c>
      <c r="M16" s="49" t="n">
        <f aca="false">Accuracy!$D$12*(1-Accuracy!$D$14)*(1+Accuracy!$D$16*('Resistor Network'!I16-25))</f>
        <v>17820</v>
      </c>
      <c r="N16" s="49" t="n">
        <f aca="false">Accuracy!$D$12*(1+Accuracy!$D$14)*(1-Accuracy!$D$16*('Resistor Network'!I16-25))</f>
        <v>18180</v>
      </c>
      <c r="O16" s="49" t="n">
        <f aca="false">Accuracy!$D$12*(1+Accuracy!$D$14)*(1+Accuracy!$D$16*('Resistor Network'!I16-25))</f>
        <v>18180</v>
      </c>
      <c r="P16" s="49" t="n">
        <f aca="false">MINA(L16:O16)</f>
        <v>17820</v>
      </c>
      <c r="Q16" s="49" t="n">
        <f aca="false">MAX(L16:O16)</f>
        <v>18180</v>
      </c>
      <c r="S16" s="0" t="n">
        <f aca="false">Accuracy!$D$19</f>
        <v>0</v>
      </c>
      <c r="T16" s="49" t="n">
        <f aca="false">Accuracy!$D$19*(1-Accuracy!$D$21)*(1-Accuracy!$D$23*('Resistor Network'!I16-25))</f>
        <v>0</v>
      </c>
      <c r="U16" s="49" t="n">
        <f aca="false">Accuracy!$D$19*(1-Accuracy!$D$21)*(1+Accuracy!$D$23*('Resistor Network'!I16-25))</f>
        <v>0</v>
      </c>
      <c r="V16" s="49" t="n">
        <f aca="false">Accuracy!$D$19*(1+Accuracy!$D$21)*(1-Accuracy!$D$23*('Resistor Network'!I16-25))</f>
        <v>0</v>
      </c>
      <c r="W16" s="49" t="n">
        <f aca="false">Accuracy!$D$19*(1-Accuracy!$D$21)*(1+Accuracy!$D$23*('Resistor Network'!I16-25))</f>
        <v>0</v>
      </c>
      <c r="X16" s="49" t="n">
        <f aca="false">MINA(T16:W16)</f>
        <v>0</v>
      </c>
      <c r="Y16" s="49" t="n">
        <f aca="false">MAX(T16:W16)</f>
        <v>0</v>
      </c>
      <c r="AB16" s="46" t="n">
        <f aca="false">(D16+S16)/(D16+S16+K16)</f>
        <v>0.44937289691037</v>
      </c>
      <c r="AC16" s="46" t="n">
        <f aca="false">(E16+X16)/(E16+X16+Q16)</f>
        <v>0.44347979038331</v>
      </c>
      <c r="AD16" s="46" t="n">
        <f aca="false">(F16+Y16)/(F16+Y16+P16)</f>
        <v>0.45528024920245</v>
      </c>
      <c r="AE16" s="46"/>
      <c r="AF16" s="46"/>
      <c r="AH16" s="50"/>
      <c r="AI16" s="55"/>
      <c r="AJ16" s="50"/>
      <c r="AL16" s="49"/>
      <c r="AM16" s="49"/>
      <c r="AN16" s="49"/>
      <c r="AP16" s="46"/>
    </row>
    <row r="17" customFormat="false" ht="12.75" hidden="false" customHeight="false" outlineLevel="0" collapsed="false">
      <c r="C17" s="26" t="n">
        <f aca="false">Accuracy!F16</f>
        <v>20</v>
      </c>
      <c r="D17" s="26" t="n">
        <f aca="false">Accuracy!G16</f>
        <v>12090</v>
      </c>
      <c r="E17" s="54" t="n">
        <f aca="false">Thermistor!T17</f>
        <v>11946.4049612926</v>
      </c>
      <c r="F17" s="54" t="n">
        <f aca="false">Thermistor!U17</f>
        <v>12234.0975099664</v>
      </c>
      <c r="G17" s="44"/>
      <c r="H17" s="44" t="n">
        <v>12</v>
      </c>
      <c r="I17" s="44" t="n">
        <f aca="false">$I$42+H17*$I$44</f>
        <v>-24</v>
      </c>
      <c r="K17" s="0" t="n">
        <f aca="false">Accuracy!$D$12</f>
        <v>18000</v>
      </c>
      <c r="L17" s="49" t="n">
        <f aca="false">Accuracy!$D$12*(1-Accuracy!$D$14)*(1-Accuracy!$D$16*('Resistor Network'!I17-25))</f>
        <v>17820</v>
      </c>
      <c r="M17" s="49" t="n">
        <f aca="false">Accuracy!$D$12*(1-Accuracy!$D$14)*(1+Accuracy!$D$16*('Resistor Network'!I17-25))</f>
        <v>17820</v>
      </c>
      <c r="N17" s="49" t="n">
        <f aca="false">Accuracy!$D$12*(1+Accuracy!$D$14)*(1-Accuracy!$D$16*('Resistor Network'!I17-25))</f>
        <v>18180</v>
      </c>
      <c r="O17" s="49" t="n">
        <f aca="false">Accuracy!$D$12*(1+Accuracy!$D$14)*(1+Accuracy!$D$16*('Resistor Network'!I17-25))</f>
        <v>18180</v>
      </c>
      <c r="P17" s="49" t="n">
        <f aca="false">MINA(L17:O17)</f>
        <v>17820</v>
      </c>
      <c r="Q17" s="49" t="n">
        <f aca="false">MAX(L17:O17)</f>
        <v>18180</v>
      </c>
      <c r="S17" s="0" t="n">
        <f aca="false">Accuracy!$D$19</f>
        <v>0</v>
      </c>
      <c r="T17" s="49" t="n">
        <f aca="false">Accuracy!$D$19*(1-Accuracy!$D$21)*(1-Accuracy!$D$23*('Resistor Network'!I17-25))</f>
        <v>0</v>
      </c>
      <c r="U17" s="49" t="n">
        <f aca="false">Accuracy!$D$19*(1-Accuracy!$D$21)*(1+Accuracy!$D$23*('Resistor Network'!I17-25))</f>
        <v>0</v>
      </c>
      <c r="V17" s="49" t="n">
        <f aca="false">Accuracy!$D$19*(1+Accuracy!$D$21)*(1-Accuracy!$D$23*('Resistor Network'!I17-25))</f>
        <v>0</v>
      </c>
      <c r="W17" s="49" t="n">
        <f aca="false">Accuracy!$D$19*(1-Accuracy!$D$21)*(1+Accuracy!$D$23*('Resistor Network'!I17-25))</f>
        <v>0</v>
      </c>
      <c r="X17" s="49" t="n">
        <f aca="false">MINA(T17:W17)</f>
        <v>0</v>
      </c>
      <c r="Y17" s="49" t="n">
        <f aca="false">MAX(T17:W17)</f>
        <v>0</v>
      </c>
      <c r="AB17" s="46" t="n">
        <f aca="false">(D17+S17)/(D17+S17+K17)</f>
        <v>0.401794616151545</v>
      </c>
      <c r="AC17" s="46" t="n">
        <f aca="false">(E17+X17)/(E17+X17+Q17)</f>
        <v>0.39654266669527</v>
      </c>
      <c r="AD17" s="46" t="n">
        <f aca="false">(F17+Y17)/(F17+Y17+P17)</f>
        <v>0.407069202657288</v>
      </c>
      <c r="AE17" s="46"/>
      <c r="AF17" s="46"/>
      <c r="AH17" s="50"/>
      <c r="AI17" s="55"/>
      <c r="AJ17" s="50"/>
      <c r="AL17" s="49"/>
      <c r="AM17" s="49"/>
      <c r="AN17" s="49"/>
      <c r="AP17" s="46"/>
    </row>
    <row r="18" customFormat="false" ht="12.75" hidden="false" customHeight="false" outlineLevel="0" collapsed="false">
      <c r="C18" s="26" t="n">
        <f aca="false">Accuracy!F17</f>
        <v>25</v>
      </c>
      <c r="D18" s="26" t="n">
        <f aca="false">Accuracy!G17</f>
        <v>10000</v>
      </c>
      <c r="E18" s="54" t="n">
        <f aca="false">Thermistor!T18</f>
        <v>9900</v>
      </c>
      <c r="F18" s="54" t="n">
        <f aca="false">Thermistor!U18</f>
        <v>10100</v>
      </c>
      <c r="G18" s="44"/>
      <c r="H18" s="44" t="n">
        <v>13</v>
      </c>
      <c r="I18" s="44" t="n">
        <f aca="false">$I$42+H18*$I$44</f>
        <v>-22.6666666666667</v>
      </c>
      <c r="K18" s="0" t="n">
        <f aca="false">Accuracy!$D$12</f>
        <v>18000</v>
      </c>
      <c r="L18" s="49" t="n">
        <f aca="false">Accuracy!$D$12*(1-Accuracy!$D$14)*(1-Accuracy!$D$16*('Resistor Network'!I18-25))</f>
        <v>17820</v>
      </c>
      <c r="M18" s="49" t="n">
        <f aca="false">Accuracy!$D$12*(1-Accuracy!$D$14)*(1+Accuracy!$D$16*('Resistor Network'!I18-25))</f>
        <v>17820</v>
      </c>
      <c r="N18" s="49" t="n">
        <f aca="false">Accuracy!$D$12*(1+Accuracy!$D$14)*(1-Accuracy!$D$16*('Resistor Network'!I18-25))</f>
        <v>18180</v>
      </c>
      <c r="O18" s="49" t="n">
        <f aca="false">Accuracy!$D$12*(1+Accuracy!$D$14)*(1+Accuracy!$D$16*('Resistor Network'!I18-25))</f>
        <v>18180</v>
      </c>
      <c r="P18" s="49" t="n">
        <f aca="false">MINA(L18:O18)</f>
        <v>17820</v>
      </c>
      <c r="Q18" s="49" t="n">
        <f aca="false">MAX(L18:O18)</f>
        <v>18180</v>
      </c>
      <c r="S18" s="0" t="n">
        <f aca="false">Accuracy!$D$19</f>
        <v>0</v>
      </c>
      <c r="T18" s="49" t="n">
        <f aca="false">Accuracy!$D$19*(1-Accuracy!$D$21)*(1-Accuracy!$D$23*('Resistor Network'!I18-25))</f>
        <v>0</v>
      </c>
      <c r="U18" s="49" t="n">
        <f aca="false">Accuracy!$D$19*(1-Accuracy!$D$21)*(1+Accuracy!$D$23*('Resistor Network'!I18-25))</f>
        <v>0</v>
      </c>
      <c r="V18" s="49" t="n">
        <f aca="false">Accuracy!$D$19*(1+Accuracy!$D$21)*(1-Accuracy!$D$23*('Resistor Network'!I18-25))</f>
        <v>0</v>
      </c>
      <c r="W18" s="49" t="n">
        <f aca="false">Accuracy!$D$19*(1-Accuracy!$D$21)*(1+Accuracy!$D$23*('Resistor Network'!I18-25))</f>
        <v>0</v>
      </c>
      <c r="X18" s="49" t="n">
        <f aca="false">MINA(T18:W18)</f>
        <v>0</v>
      </c>
      <c r="Y18" s="49" t="n">
        <f aca="false">MAX(T18:W18)</f>
        <v>0</v>
      </c>
      <c r="AB18" s="46" t="n">
        <f aca="false">(D18+S18)/(D18+S18+K18)</f>
        <v>0.357142857142857</v>
      </c>
      <c r="AC18" s="46" t="n">
        <f aca="false">(E18+X18)/(E18+X18+Q18)</f>
        <v>0.352564102564103</v>
      </c>
      <c r="AD18" s="46" t="n">
        <f aca="false">(F18+Y18)/(F18+Y18+P18)</f>
        <v>0.361747851002865</v>
      </c>
      <c r="AE18" s="46"/>
      <c r="AF18" s="46"/>
      <c r="AH18" s="50"/>
      <c r="AI18" s="55"/>
      <c r="AJ18" s="50"/>
      <c r="AL18" s="49"/>
      <c r="AM18" s="49"/>
      <c r="AN18" s="49"/>
      <c r="AP18" s="46"/>
    </row>
    <row r="19" customFormat="false" ht="12.75" hidden="false" customHeight="false" outlineLevel="0" collapsed="false">
      <c r="C19" s="26" t="n">
        <f aca="false">Accuracy!F18</f>
        <v>30</v>
      </c>
      <c r="D19" s="26" t="n">
        <f aca="false">Accuracy!G18</f>
        <v>8313</v>
      </c>
      <c r="E19" s="54" t="n">
        <f aca="false">Thermistor!T19</f>
        <v>8214.67815757046</v>
      </c>
      <c r="F19" s="54" t="n">
        <f aca="false">Thermistor!U19</f>
        <v>8411.6574109991</v>
      </c>
      <c r="G19" s="44"/>
      <c r="H19" s="44" t="n">
        <v>14</v>
      </c>
      <c r="I19" s="44" t="n">
        <f aca="false">$I$42+H19*$I$44</f>
        <v>-21.3333333333333</v>
      </c>
      <c r="K19" s="0" t="n">
        <f aca="false">Accuracy!$D$12</f>
        <v>18000</v>
      </c>
      <c r="L19" s="49" t="n">
        <f aca="false">Accuracy!$D$12*(1-Accuracy!$D$14)*(1-Accuracy!$D$16*('Resistor Network'!I19-25))</f>
        <v>17820</v>
      </c>
      <c r="M19" s="49" t="n">
        <f aca="false">Accuracy!$D$12*(1-Accuracy!$D$14)*(1+Accuracy!$D$16*('Resistor Network'!I19-25))</f>
        <v>17820</v>
      </c>
      <c r="N19" s="49" t="n">
        <f aca="false">Accuracy!$D$12*(1+Accuracy!$D$14)*(1-Accuracy!$D$16*('Resistor Network'!I19-25))</f>
        <v>18180</v>
      </c>
      <c r="O19" s="49" t="n">
        <f aca="false">Accuracy!$D$12*(1+Accuracy!$D$14)*(1+Accuracy!$D$16*('Resistor Network'!I19-25))</f>
        <v>18180</v>
      </c>
      <c r="P19" s="49" t="n">
        <f aca="false">MINA(L19:O19)</f>
        <v>17820</v>
      </c>
      <c r="Q19" s="49" t="n">
        <f aca="false">MAX(L19:O19)</f>
        <v>18180</v>
      </c>
      <c r="S19" s="0" t="n">
        <f aca="false">Accuracy!$D$19</f>
        <v>0</v>
      </c>
      <c r="T19" s="49" t="n">
        <f aca="false">Accuracy!$D$19*(1-Accuracy!$D$21)*(1-Accuracy!$D$23*('Resistor Network'!I19-25))</f>
        <v>0</v>
      </c>
      <c r="U19" s="49" t="n">
        <f aca="false">Accuracy!$D$19*(1-Accuracy!$D$21)*(1+Accuracy!$D$23*('Resistor Network'!I19-25))</f>
        <v>0</v>
      </c>
      <c r="V19" s="49" t="n">
        <f aca="false">Accuracy!$D$19*(1+Accuracy!$D$21)*(1-Accuracy!$D$23*('Resistor Network'!I19-25))</f>
        <v>0</v>
      </c>
      <c r="W19" s="49" t="n">
        <f aca="false">Accuracy!$D$19*(1-Accuracy!$D$21)*(1+Accuracy!$D$23*('Resistor Network'!I19-25))</f>
        <v>0</v>
      </c>
      <c r="X19" s="49" t="n">
        <f aca="false">MINA(T19:W19)</f>
        <v>0</v>
      </c>
      <c r="Y19" s="49" t="n">
        <f aca="false">MAX(T19:W19)</f>
        <v>0</v>
      </c>
      <c r="AB19" s="46" t="n">
        <f aca="false">(D19+S19)/(D19+S19+K19)</f>
        <v>0.315927488313761</v>
      </c>
      <c r="AC19" s="46" t="n">
        <f aca="false">(E19+X19)/(E19+X19+Q19)</f>
        <v>0.311224789653832</v>
      </c>
      <c r="AD19" s="46" t="n">
        <f aca="false">(F19+Y19)/(F19+Y19+P19)</f>
        <v>0.320668163631629</v>
      </c>
      <c r="AE19" s="46"/>
      <c r="AF19" s="46"/>
      <c r="AH19" s="50"/>
      <c r="AI19" s="55"/>
      <c r="AJ19" s="50"/>
      <c r="AL19" s="49"/>
      <c r="AM19" s="49"/>
      <c r="AN19" s="49"/>
      <c r="AP19" s="46"/>
    </row>
    <row r="20" customFormat="false" ht="12.75" hidden="false" customHeight="false" outlineLevel="0" collapsed="false">
      <c r="C20" s="26" t="n">
        <f aca="false">Accuracy!F19</f>
        <v>35</v>
      </c>
      <c r="D20" s="26" t="n">
        <f aca="false">Accuracy!G19</f>
        <v>6940</v>
      </c>
      <c r="E20" s="54" t="n">
        <f aca="false">Thermistor!T20</f>
        <v>6845.54862642063</v>
      </c>
      <c r="F20" s="54" t="n">
        <f aca="false">Thermistor!U20</f>
        <v>7035.05098979642</v>
      </c>
      <c r="G20" s="44"/>
      <c r="H20" s="44" t="n">
        <v>15</v>
      </c>
      <c r="I20" s="44" t="n">
        <f aca="false">$I$42+H20*$I$44</f>
        <v>-20</v>
      </c>
      <c r="K20" s="0" t="n">
        <f aca="false">Accuracy!$D$12</f>
        <v>18000</v>
      </c>
      <c r="L20" s="49" t="n">
        <f aca="false">Accuracy!$D$12*(1-Accuracy!$D$14)*(1-Accuracy!$D$16*('Resistor Network'!I20-25))</f>
        <v>17820</v>
      </c>
      <c r="M20" s="49" t="n">
        <f aca="false">Accuracy!$D$12*(1-Accuracy!$D$14)*(1+Accuracy!$D$16*('Resistor Network'!I20-25))</f>
        <v>17820</v>
      </c>
      <c r="N20" s="49" t="n">
        <f aca="false">Accuracy!$D$12*(1+Accuracy!$D$14)*(1-Accuracy!$D$16*('Resistor Network'!I20-25))</f>
        <v>18180</v>
      </c>
      <c r="O20" s="49" t="n">
        <f aca="false">Accuracy!$D$12*(1+Accuracy!$D$14)*(1+Accuracy!$D$16*('Resistor Network'!I20-25))</f>
        <v>18180</v>
      </c>
      <c r="P20" s="49" t="n">
        <f aca="false">MINA(L20:O20)</f>
        <v>17820</v>
      </c>
      <c r="Q20" s="49" t="n">
        <f aca="false">MAX(L20:O20)</f>
        <v>18180</v>
      </c>
      <c r="S20" s="0" t="n">
        <f aca="false">Accuracy!$D$19</f>
        <v>0</v>
      </c>
      <c r="T20" s="49" t="n">
        <f aca="false">Accuracy!$D$19*(1-Accuracy!$D$21)*(1-Accuracy!$D$23*('Resistor Network'!I20-25))</f>
        <v>0</v>
      </c>
      <c r="U20" s="49" t="n">
        <f aca="false">Accuracy!$D$19*(1-Accuracy!$D$21)*(1+Accuracy!$D$23*('Resistor Network'!I20-25))</f>
        <v>0</v>
      </c>
      <c r="V20" s="49" t="n">
        <f aca="false">Accuracy!$D$19*(1+Accuracy!$D$21)*(1-Accuracy!$D$23*('Resistor Network'!I20-25))</f>
        <v>0</v>
      </c>
      <c r="W20" s="49" t="n">
        <f aca="false">Accuracy!$D$19*(1-Accuracy!$D$21)*(1+Accuracy!$D$23*('Resistor Network'!I20-25))</f>
        <v>0</v>
      </c>
      <c r="X20" s="49" t="n">
        <f aca="false">MINA(T20:W20)</f>
        <v>0</v>
      </c>
      <c r="Y20" s="49" t="n">
        <f aca="false">MAX(T20:W20)</f>
        <v>0</v>
      </c>
      <c r="AB20" s="46" t="n">
        <f aca="false">(D20+S20)/(D20+S20+K20)</f>
        <v>0.278267842822775</v>
      </c>
      <c r="AC20" s="46" t="n">
        <f aca="false">(E20+X20)/(E20+X20+Q20)</f>
        <v>0.273542399753565</v>
      </c>
      <c r="AD20" s="46" t="n">
        <f aca="false">(F20+Y20)/(F20+Y20+P20)</f>
        <v>0.283043112351066</v>
      </c>
      <c r="AE20" s="46"/>
      <c r="AF20" s="46"/>
      <c r="AH20" s="50"/>
      <c r="AI20" s="55"/>
      <c r="AJ20" s="50"/>
      <c r="AL20" s="49"/>
      <c r="AM20" s="49"/>
      <c r="AN20" s="49"/>
      <c r="AP20" s="46"/>
    </row>
    <row r="21" customFormat="false" ht="12.75" hidden="false" customHeight="false" outlineLevel="0" collapsed="false">
      <c r="C21" s="26" t="n">
        <f aca="false">Accuracy!F20</f>
        <v>40</v>
      </c>
      <c r="D21" s="26" t="n">
        <f aca="false">Accuracy!G20</f>
        <v>5827</v>
      </c>
      <c r="E21" s="54" t="n">
        <f aca="false">Thermistor!T21</f>
        <v>5737.65806383286</v>
      </c>
      <c r="F21" s="54" t="n">
        <f aca="false">Thermistor!U21</f>
        <v>5917.14131957533</v>
      </c>
      <c r="G21" s="44"/>
      <c r="H21" s="44" t="n">
        <v>16</v>
      </c>
      <c r="I21" s="44" t="n">
        <f aca="false">$I$42+H21*$I$44</f>
        <v>-18.6666666666667</v>
      </c>
      <c r="K21" s="0" t="n">
        <f aca="false">Accuracy!$D$12</f>
        <v>18000</v>
      </c>
      <c r="L21" s="49" t="n">
        <f aca="false">Accuracy!$D$12*(1-Accuracy!$D$14)*(1-Accuracy!$D$16*('Resistor Network'!I21-25))</f>
        <v>17820</v>
      </c>
      <c r="M21" s="49" t="n">
        <f aca="false">Accuracy!$D$12*(1-Accuracy!$D$14)*(1+Accuracy!$D$16*('Resistor Network'!I21-25))</f>
        <v>17820</v>
      </c>
      <c r="N21" s="49" t="n">
        <f aca="false">Accuracy!$D$12*(1+Accuracy!$D$14)*(1-Accuracy!$D$16*('Resistor Network'!I21-25))</f>
        <v>18180</v>
      </c>
      <c r="O21" s="49" t="n">
        <f aca="false">Accuracy!$D$12*(1+Accuracy!$D$14)*(1+Accuracy!$D$16*('Resistor Network'!I21-25))</f>
        <v>18180</v>
      </c>
      <c r="P21" s="49" t="n">
        <f aca="false">MINA(L21:O21)</f>
        <v>17820</v>
      </c>
      <c r="Q21" s="49" t="n">
        <f aca="false">MAX(L21:O21)</f>
        <v>18180</v>
      </c>
      <c r="S21" s="0" t="n">
        <f aca="false">Accuracy!$D$19</f>
        <v>0</v>
      </c>
      <c r="T21" s="49" t="n">
        <f aca="false">Accuracy!$D$19*(1-Accuracy!$D$21)*(1-Accuracy!$D$23*('Resistor Network'!I21-25))</f>
        <v>0</v>
      </c>
      <c r="U21" s="49" t="n">
        <f aca="false">Accuracy!$D$19*(1-Accuracy!$D$21)*(1+Accuracy!$D$23*('Resistor Network'!I21-25))</f>
        <v>0</v>
      </c>
      <c r="V21" s="49" t="n">
        <f aca="false">Accuracy!$D$19*(1+Accuracy!$D$21)*(1-Accuracy!$D$23*('Resistor Network'!I21-25))</f>
        <v>0</v>
      </c>
      <c r="W21" s="49" t="n">
        <f aca="false">Accuracy!$D$19*(1-Accuracy!$D$21)*(1+Accuracy!$D$23*('Resistor Network'!I21-25))</f>
        <v>0</v>
      </c>
      <c r="X21" s="49" t="n">
        <f aca="false">MINA(T21:W21)</f>
        <v>0</v>
      </c>
      <c r="Y21" s="49" t="n">
        <f aca="false">MAX(T21:W21)</f>
        <v>0</v>
      </c>
      <c r="AB21" s="46" t="n">
        <f aca="false">(D21+S21)/(D21+S21+K21)</f>
        <v>0.244554496999203</v>
      </c>
      <c r="AC21" s="46" t="n">
        <f aca="false">(E21+X21)/(E21+X21+Q21)</f>
        <v>0.239892135280129</v>
      </c>
      <c r="AD21" s="46" t="n">
        <f aca="false">(F21+Y21)/(F21+Y21+P21)</f>
        <v>0.249277755897912</v>
      </c>
      <c r="AE21" s="46"/>
      <c r="AF21" s="46"/>
      <c r="AH21" s="50"/>
      <c r="AI21" s="55"/>
      <c r="AJ21" s="50"/>
      <c r="AL21" s="49"/>
      <c r="AM21" s="49"/>
      <c r="AN21" s="49"/>
      <c r="AP21" s="46"/>
    </row>
    <row r="22" customFormat="false" ht="12.75" hidden="false" customHeight="false" outlineLevel="0" collapsed="false">
      <c r="C22" s="26" t="n">
        <f aca="false">Accuracy!F21</f>
        <v>45</v>
      </c>
      <c r="D22" s="26" t="n">
        <f aca="false">Accuracy!G21</f>
        <v>4911</v>
      </c>
      <c r="E22" s="54" t="n">
        <f aca="false">Thermistor!T22</f>
        <v>4827.43937095716</v>
      </c>
      <c r="F22" s="54" t="n">
        <f aca="false">Thermistor!U22</f>
        <v>4995.50742221305</v>
      </c>
      <c r="G22" s="44"/>
      <c r="H22" s="44" t="n">
        <v>17</v>
      </c>
      <c r="I22" s="44" t="n">
        <f aca="false">$I$42+H22*$I$44</f>
        <v>-17.3333333333333</v>
      </c>
      <c r="K22" s="0" t="n">
        <f aca="false">Accuracy!$D$12</f>
        <v>18000</v>
      </c>
      <c r="L22" s="49" t="n">
        <f aca="false">Accuracy!$D$12*(1-Accuracy!$D$14)*(1-Accuracy!$D$16*('Resistor Network'!I22-25))</f>
        <v>17820</v>
      </c>
      <c r="M22" s="49" t="n">
        <f aca="false">Accuracy!$D$12*(1-Accuracy!$D$14)*(1+Accuracy!$D$16*('Resistor Network'!I22-25))</f>
        <v>17820</v>
      </c>
      <c r="N22" s="49" t="n">
        <f aca="false">Accuracy!$D$12*(1+Accuracy!$D$14)*(1-Accuracy!$D$16*('Resistor Network'!I22-25))</f>
        <v>18180</v>
      </c>
      <c r="O22" s="49" t="n">
        <f aca="false">Accuracy!$D$12*(1+Accuracy!$D$14)*(1+Accuracy!$D$16*('Resistor Network'!I22-25))</f>
        <v>18180</v>
      </c>
      <c r="P22" s="49" t="n">
        <f aca="false">MINA(L22:O22)</f>
        <v>17820</v>
      </c>
      <c r="Q22" s="49" t="n">
        <f aca="false">MAX(L22:O22)</f>
        <v>18180</v>
      </c>
      <c r="S22" s="0" t="n">
        <f aca="false">Accuracy!$D$19</f>
        <v>0</v>
      </c>
      <c r="T22" s="49" t="n">
        <f aca="false">Accuracy!$D$19*(1-Accuracy!$D$21)*(1-Accuracy!$D$23*('Resistor Network'!I22-25))</f>
        <v>0</v>
      </c>
      <c r="U22" s="49" t="n">
        <f aca="false">Accuracy!$D$19*(1-Accuracy!$D$21)*(1+Accuracy!$D$23*('Resistor Network'!I22-25))</f>
        <v>0</v>
      </c>
      <c r="V22" s="49" t="n">
        <f aca="false">Accuracy!$D$19*(1+Accuracy!$D$21)*(1-Accuracy!$D$23*('Resistor Network'!I22-25))</f>
        <v>0</v>
      </c>
      <c r="W22" s="49" t="n">
        <f aca="false">Accuracy!$D$19*(1-Accuracy!$D$21)*(1+Accuracy!$D$23*('Resistor Network'!I22-25))</f>
        <v>0</v>
      </c>
      <c r="X22" s="49" t="n">
        <f aca="false">MINA(T22:W22)</f>
        <v>0</v>
      </c>
      <c r="Y22" s="49" t="n">
        <f aca="false">MAX(T22:W22)</f>
        <v>0</v>
      </c>
      <c r="AB22" s="46" t="n">
        <f aca="false">(D22+S22)/(D22+S22+K22)</f>
        <v>0.214351185020296</v>
      </c>
      <c r="AC22" s="46" t="n">
        <f aca="false">(E22+X22)/(E22+X22+Q22)</f>
        <v>0.209820801573032</v>
      </c>
      <c r="AD22" s="46" t="n">
        <f aca="false">(F22+Y22)/(F22+Y22+P22)</f>
        <v>0.218952282312575</v>
      </c>
      <c r="AE22" s="46"/>
      <c r="AF22" s="46"/>
      <c r="AH22" s="50"/>
      <c r="AI22" s="55"/>
      <c r="AJ22" s="50"/>
      <c r="AL22" s="49"/>
      <c r="AM22" s="49"/>
      <c r="AN22" s="49"/>
      <c r="AP22" s="46"/>
    </row>
    <row r="23" customFormat="false" ht="12.75" hidden="false" customHeight="false" outlineLevel="0" collapsed="false">
      <c r="C23" s="26" t="n">
        <f aca="false">Accuracy!F22</f>
        <v>50</v>
      </c>
      <c r="D23" s="26" t="n">
        <f aca="false">Accuracy!G22</f>
        <v>4160</v>
      </c>
      <c r="E23" s="54" t="n">
        <f aca="false">Thermistor!T23</f>
        <v>4082.43669059133</v>
      </c>
      <c r="F23" s="54" t="n">
        <f aca="false">Thermistor!U23</f>
        <v>4238.61305182753</v>
      </c>
      <c r="G23" s="44"/>
      <c r="H23" s="44" t="n">
        <v>18</v>
      </c>
      <c r="I23" s="44" t="n">
        <f aca="false">$I$42+H23*$I$44</f>
        <v>-16</v>
      </c>
      <c r="K23" s="0" t="n">
        <f aca="false">Accuracy!$D$12</f>
        <v>18000</v>
      </c>
      <c r="L23" s="49" t="n">
        <f aca="false">Accuracy!$D$12*(1-Accuracy!$D$14)*(1-Accuracy!$D$16*('Resistor Network'!I23-25))</f>
        <v>17820</v>
      </c>
      <c r="M23" s="49" t="n">
        <f aca="false">Accuracy!$D$12*(1-Accuracy!$D$14)*(1+Accuracy!$D$16*('Resistor Network'!I23-25))</f>
        <v>17820</v>
      </c>
      <c r="N23" s="49" t="n">
        <f aca="false">Accuracy!$D$12*(1+Accuracy!$D$14)*(1-Accuracy!$D$16*('Resistor Network'!I23-25))</f>
        <v>18180</v>
      </c>
      <c r="O23" s="49" t="n">
        <f aca="false">Accuracy!$D$12*(1+Accuracy!$D$14)*(1+Accuracy!$D$16*('Resistor Network'!I23-25))</f>
        <v>18180</v>
      </c>
      <c r="P23" s="49" t="n">
        <f aca="false">MINA(L23:O23)</f>
        <v>17820</v>
      </c>
      <c r="Q23" s="49" t="n">
        <f aca="false">MAX(L23:O23)</f>
        <v>18180</v>
      </c>
      <c r="S23" s="0" t="n">
        <f aca="false">Accuracy!$D$19</f>
        <v>0</v>
      </c>
      <c r="T23" s="49" t="n">
        <f aca="false">Accuracy!$D$19*(1-Accuracy!$D$21)*(1-Accuracy!$D$23*('Resistor Network'!I23-25))</f>
        <v>0</v>
      </c>
      <c r="U23" s="49" t="n">
        <f aca="false">Accuracy!$D$19*(1-Accuracy!$D$21)*(1+Accuracy!$D$23*('Resistor Network'!I23-25))</f>
        <v>0</v>
      </c>
      <c r="V23" s="49" t="n">
        <f aca="false">Accuracy!$D$19*(1+Accuracy!$D$21)*(1-Accuracy!$D$23*('Resistor Network'!I23-25))</f>
        <v>0</v>
      </c>
      <c r="W23" s="49" t="n">
        <f aca="false">Accuracy!$D$19*(1-Accuracy!$D$21)*(1+Accuracy!$D$23*('Resistor Network'!I23-25))</f>
        <v>0</v>
      </c>
      <c r="X23" s="49" t="n">
        <f aca="false">MINA(T23:W23)</f>
        <v>0</v>
      </c>
      <c r="Y23" s="49" t="n">
        <f aca="false">MAX(T23:W23)</f>
        <v>0</v>
      </c>
      <c r="AB23" s="46" t="n">
        <f aca="false">(D23+S23)/(D23+S23+K23)</f>
        <v>0.187725631768953</v>
      </c>
      <c r="AC23" s="46" t="n">
        <f aca="false">(E23+X23)/(E23+X23+Q23)</f>
        <v>0.183377801241167</v>
      </c>
      <c r="AD23" s="46" t="n">
        <f aca="false">(F23+Y23)/(F23+Y23+P23)</f>
        <v>0.192152291799523</v>
      </c>
      <c r="AE23" s="46"/>
      <c r="AF23" s="46"/>
      <c r="AH23" s="50"/>
      <c r="AI23" s="55"/>
      <c r="AJ23" s="50"/>
      <c r="AL23" s="49"/>
      <c r="AM23" s="49"/>
      <c r="AN23" s="49"/>
      <c r="AP23" s="46"/>
    </row>
    <row r="24" customFormat="false" ht="12.75" hidden="false" customHeight="false" outlineLevel="0" collapsed="false">
      <c r="C24" s="26" t="n">
        <f aca="false">Accuracy!F23</f>
        <v>55</v>
      </c>
      <c r="D24" s="26" t="n">
        <f aca="false">Accuracy!G23</f>
        <v>3536</v>
      </c>
      <c r="E24" s="54" t="n">
        <f aca="false">Thermistor!T24</f>
        <v>3464.43624462099</v>
      </c>
      <c r="F24" s="54" t="n">
        <f aca="false">Thermistor!U24</f>
        <v>3608.68112086379</v>
      </c>
      <c r="G24" s="44"/>
      <c r="H24" s="44" t="n">
        <v>19</v>
      </c>
      <c r="I24" s="44" t="n">
        <f aca="false">$I$42+H24*$I$44</f>
        <v>-14.6666666666667</v>
      </c>
      <c r="K24" s="0" t="n">
        <f aca="false">Accuracy!$D$12</f>
        <v>18000</v>
      </c>
      <c r="L24" s="49" t="n">
        <f aca="false">Accuracy!$D$12*(1-Accuracy!$D$14)*(1-Accuracy!$D$16*('Resistor Network'!I24-25))</f>
        <v>17820</v>
      </c>
      <c r="M24" s="49" t="n">
        <f aca="false">Accuracy!$D$12*(1-Accuracy!$D$14)*(1+Accuracy!$D$16*('Resistor Network'!I24-25))</f>
        <v>17820</v>
      </c>
      <c r="N24" s="49" t="n">
        <f aca="false">Accuracy!$D$12*(1+Accuracy!$D$14)*(1-Accuracy!$D$16*('Resistor Network'!I24-25))</f>
        <v>18180</v>
      </c>
      <c r="O24" s="49" t="n">
        <f aca="false">Accuracy!$D$12*(1+Accuracy!$D$14)*(1+Accuracy!$D$16*('Resistor Network'!I24-25))</f>
        <v>18180</v>
      </c>
      <c r="P24" s="49" t="n">
        <f aca="false">MINA(L24:O24)</f>
        <v>17820</v>
      </c>
      <c r="Q24" s="49" t="n">
        <f aca="false">MAX(L24:O24)</f>
        <v>18180</v>
      </c>
      <c r="S24" s="0" t="n">
        <f aca="false">Accuracy!$D$19</f>
        <v>0</v>
      </c>
      <c r="T24" s="49" t="n">
        <f aca="false">Accuracy!$D$19*(1-Accuracy!$D$21)*(1-Accuracy!$D$23*('Resistor Network'!I24-25))</f>
        <v>0</v>
      </c>
      <c r="U24" s="49" t="n">
        <f aca="false">Accuracy!$D$19*(1-Accuracy!$D$21)*(1+Accuracy!$D$23*('Resistor Network'!I24-25))</f>
        <v>0</v>
      </c>
      <c r="V24" s="49" t="n">
        <f aca="false">Accuracy!$D$19*(1+Accuracy!$D$21)*(1-Accuracy!$D$23*('Resistor Network'!I24-25))</f>
        <v>0</v>
      </c>
      <c r="W24" s="49" t="n">
        <f aca="false">Accuracy!$D$19*(1-Accuracy!$D$21)*(1+Accuracy!$D$23*('Resistor Network'!I24-25))</f>
        <v>0</v>
      </c>
      <c r="X24" s="49" t="n">
        <f aca="false">MINA(T24:W24)</f>
        <v>0</v>
      </c>
      <c r="Y24" s="49" t="n">
        <f aca="false">MAX(T24:W24)</f>
        <v>0</v>
      </c>
      <c r="AB24" s="46" t="n">
        <f aca="false">(D24+S24)/(D24+S24+K24)</f>
        <v>0.164190193164933</v>
      </c>
      <c r="AC24" s="46" t="n">
        <f aca="false">(E24+X24)/(E24+X24+Q24)</f>
        <v>0.160061283438693</v>
      </c>
      <c r="AD24" s="46" t="n">
        <f aca="false">(F24+Y24)/(F24+Y24+P24)</f>
        <v>0.168404256916691</v>
      </c>
      <c r="AE24" s="46"/>
      <c r="AF24" s="46"/>
      <c r="AH24" s="50"/>
      <c r="AI24" s="55"/>
      <c r="AJ24" s="50"/>
      <c r="AL24" s="49"/>
      <c r="AM24" s="49"/>
      <c r="AN24" s="49"/>
      <c r="AP24" s="46"/>
    </row>
    <row r="25" customFormat="false" ht="12.75" hidden="false" customHeight="false" outlineLevel="0" collapsed="false">
      <c r="C25" s="26" t="n">
        <f aca="false">Accuracy!F24</f>
        <v>60</v>
      </c>
      <c r="D25" s="26" t="n">
        <f aca="false">Accuracy!G24</f>
        <v>3020</v>
      </c>
      <c r="E25" s="54" t="n">
        <f aca="false">Thermistor!T25</f>
        <v>2954.21573497622</v>
      </c>
      <c r="F25" s="54" t="n">
        <f aca="false">Thermistor!U25</f>
        <v>3086.9404194252</v>
      </c>
      <c r="G25" s="44"/>
      <c r="H25" s="44" t="n">
        <v>20</v>
      </c>
      <c r="I25" s="44" t="n">
        <f aca="false">$I$42+H25*$I$44</f>
        <v>-13.3333333333333</v>
      </c>
      <c r="K25" s="0" t="n">
        <f aca="false">Accuracy!$D$12</f>
        <v>18000</v>
      </c>
      <c r="L25" s="49" t="n">
        <f aca="false">Accuracy!$D$12*(1-Accuracy!$D$14)*(1-Accuracy!$D$16*('Resistor Network'!I25-25))</f>
        <v>17820</v>
      </c>
      <c r="M25" s="49" t="n">
        <f aca="false">Accuracy!$D$12*(1-Accuracy!$D$14)*(1+Accuracy!$D$16*('Resistor Network'!I25-25))</f>
        <v>17820</v>
      </c>
      <c r="N25" s="49" t="n">
        <f aca="false">Accuracy!$D$12*(1+Accuracy!$D$14)*(1-Accuracy!$D$16*('Resistor Network'!I25-25))</f>
        <v>18180</v>
      </c>
      <c r="O25" s="49" t="n">
        <f aca="false">Accuracy!$D$12*(1+Accuracy!$D$14)*(1+Accuracy!$D$16*('Resistor Network'!I25-25))</f>
        <v>18180</v>
      </c>
      <c r="P25" s="49" t="n">
        <f aca="false">MINA(L25:O25)</f>
        <v>17820</v>
      </c>
      <c r="Q25" s="49" t="n">
        <f aca="false">MAX(L25:O25)</f>
        <v>18180</v>
      </c>
      <c r="S25" s="0" t="n">
        <f aca="false">Accuracy!$D$19</f>
        <v>0</v>
      </c>
      <c r="T25" s="49" t="n">
        <f aca="false">Accuracy!$D$19*(1-Accuracy!$D$21)*(1-Accuracy!$D$23*('Resistor Network'!I25-25))</f>
        <v>0</v>
      </c>
      <c r="U25" s="49" t="n">
        <f aca="false">Accuracy!$D$19*(1-Accuracy!$D$21)*(1+Accuracy!$D$23*('Resistor Network'!I25-25))</f>
        <v>0</v>
      </c>
      <c r="V25" s="49" t="n">
        <f aca="false">Accuracy!$D$19*(1+Accuracy!$D$21)*(1-Accuracy!$D$23*('Resistor Network'!I25-25))</f>
        <v>0</v>
      </c>
      <c r="W25" s="49" t="n">
        <f aca="false">Accuracy!$D$19*(1-Accuracy!$D$21)*(1+Accuracy!$D$23*('Resistor Network'!I25-25))</f>
        <v>0</v>
      </c>
      <c r="X25" s="49" t="n">
        <f aca="false">MINA(T25:W25)</f>
        <v>0</v>
      </c>
      <c r="Y25" s="49" t="n">
        <f aca="false">MAX(T25:W25)</f>
        <v>0</v>
      </c>
      <c r="AB25" s="46" t="n">
        <f aca="false">(D25+S25)/(D25+S25+K25)</f>
        <v>0.143672692673644</v>
      </c>
      <c r="AC25" s="46" t="n">
        <f aca="false">(E25+X25)/(E25+X25+Q25)</f>
        <v>0.139783551565016</v>
      </c>
      <c r="AD25" s="46" t="n">
        <f aca="false">(F25+Y25)/(F25+Y25+P25)</f>
        <v>0.147651466809416</v>
      </c>
      <c r="AE25" s="46"/>
      <c r="AF25" s="46"/>
      <c r="AH25" s="50"/>
      <c r="AI25" s="55"/>
      <c r="AJ25" s="50"/>
      <c r="AL25" s="49"/>
      <c r="AM25" s="49"/>
      <c r="AN25" s="49"/>
      <c r="AP25" s="46"/>
    </row>
    <row r="26" customFormat="false" ht="12.75" hidden="false" customHeight="false" outlineLevel="0" collapsed="false">
      <c r="C26" s="26" t="n">
        <f aca="false">Accuracy!F25</f>
        <v>65</v>
      </c>
      <c r="D26" s="26" t="n">
        <f aca="false">Accuracy!G25</f>
        <v>2588</v>
      </c>
      <c r="E26" s="54" t="n">
        <f aca="false">Thermistor!T26</f>
        <v>2527.72084164229</v>
      </c>
      <c r="F26" s="54" t="n">
        <f aca="false">Thermistor!U26</f>
        <v>2649.45167807725</v>
      </c>
      <c r="G26" s="44"/>
      <c r="H26" s="44" t="n">
        <v>21</v>
      </c>
      <c r="I26" s="44" t="n">
        <f aca="false">$I$42+H26*$I$44</f>
        <v>-12</v>
      </c>
      <c r="K26" s="0" t="n">
        <f aca="false">Accuracy!$D$12</f>
        <v>18000</v>
      </c>
      <c r="L26" s="49" t="n">
        <f aca="false">Accuracy!$D$12*(1-Accuracy!$D$14)*(1-Accuracy!$D$16*('Resistor Network'!I26-25))</f>
        <v>17820</v>
      </c>
      <c r="M26" s="49" t="n">
        <f aca="false">Accuracy!$D$12*(1-Accuracy!$D$14)*(1+Accuracy!$D$16*('Resistor Network'!I26-25))</f>
        <v>17820</v>
      </c>
      <c r="N26" s="49" t="n">
        <f aca="false">Accuracy!$D$12*(1+Accuracy!$D$14)*(1-Accuracy!$D$16*('Resistor Network'!I26-25))</f>
        <v>18180</v>
      </c>
      <c r="O26" s="49" t="n">
        <f aca="false">Accuracy!$D$12*(1+Accuracy!$D$14)*(1+Accuracy!$D$16*('Resistor Network'!I26-25))</f>
        <v>18180</v>
      </c>
      <c r="P26" s="49" t="n">
        <f aca="false">MINA(L26:O26)</f>
        <v>17820</v>
      </c>
      <c r="Q26" s="49" t="n">
        <f aca="false">MAX(L26:O26)</f>
        <v>18180</v>
      </c>
      <c r="S26" s="0" t="n">
        <f aca="false">Accuracy!$D$19</f>
        <v>0</v>
      </c>
      <c r="T26" s="49" t="n">
        <f aca="false">Accuracy!$D$19*(1-Accuracy!$D$21)*(1-Accuracy!$D$23*('Resistor Network'!I26-25))</f>
        <v>0</v>
      </c>
      <c r="U26" s="49" t="n">
        <f aca="false">Accuracy!$D$19*(1-Accuracy!$D$21)*(1+Accuracy!$D$23*('Resistor Network'!I26-25))</f>
        <v>0</v>
      </c>
      <c r="V26" s="49" t="n">
        <f aca="false">Accuracy!$D$19*(1+Accuracy!$D$21)*(1-Accuracy!$D$23*('Resistor Network'!I26-25))</f>
        <v>0</v>
      </c>
      <c r="W26" s="49" t="n">
        <f aca="false">Accuracy!$D$19*(1-Accuracy!$D$21)*(1+Accuracy!$D$23*('Resistor Network'!I26-25))</f>
        <v>0</v>
      </c>
      <c r="X26" s="49" t="n">
        <f aca="false">MINA(T26:W26)</f>
        <v>0</v>
      </c>
      <c r="Y26" s="49" t="n">
        <f aca="false">MAX(T26:W26)</f>
        <v>0</v>
      </c>
      <c r="AB26" s="46" t="n">
        <f aca="false">(D26+S26)/(D26+S26+K26)</f>
        <v>0.125704293763357</v>
      </c>
      <c r="AC26" s="46" t="n">
        <f aca="false">(E26+X26)/(E26+X26+Q26)</f>
        <v>0.12206658863969</v>
      </c>
      <c r="AD26" s="46" t="n">
        <f aca="false">(F26+Y26)/(F26+Y26+P26)</f>
        <v>0.129434423537334</v>
      </c>
      <c r="AE26" s="46"/>
      <c r="AF26" s="46"/>
      <c r="AH26" s="50"/>
      <c r="AI26" s="55"/>
      <c r="AJ26" s="50"/>
      <c r="AL26" s="49"/>
      <c r="AM26" s="49"/>
      <c r="AN26" s="49"/>
      <c r="AP26" s="46"/>
    </row>
    <row r="27" customFormat="false" ht="12.75" hidden="false" customHeight="false" outlineLevel="0" collapsed="false">
      <c r="C27" s="26" t="n">
        <f aca="false">Accuracy!F26</f>
        <v>70</v>
      </c>
      <c r="D27" s="26" t="n">
        <f aca="false">Accuracy!G26</f>
        <v>2228</v>
      </c>
      <c r="E27" s="54" t="n">
        <f aca="false">Thermistor!T27</f>
        <v>2172.84893226773</v>
      </c>
      <c r="F27" s="54" t="n">
        <f aca="false">Thermistor!U27</f>
        <v>2284.32245237582</v>
      </c>
      <c r="G27" s="44"/>
      <c r="H27" s="44" t="n">
        <v>22</v>
      </c>
      <c r="I27" s="44" t="n">
        <f aca="false">$I$42+H27*$I$44</f>
        <v>-10.6666666666667</v>
      </c>
      <c r="K27" s="0" t="n">
        <f aca="false">Accuracy!$D$12</f>
        <v>18000</v>
      </c>
      <c r="L27" s="49" t="n">
        <f aca="false">Accuracy!$D$12*(1-Accuracy!$D$14)*(1-Accuracy!$D$16*('Resistor Network'!I27-25))</f>
        <v>17820</v>
      </c>
      <c r="M27" s="49" t="n">
        <f aca="false">Accuracy!$D$12*(1-Accuracy!$D$14)*(1+Accuracy!$D$16*('Resistor Network'!I27-25))</f>
        <v>17820</v>
      </c>
      <c r="N27" s="49" t="n">
        <f aca="false">Accuracy!$D$12*(1+Accuracy!$D$14)*(1-Accuracy!$D$16*('Resistor Network'!I27-25))</f>
        <v>18180</v>
      </c>
      <c r="O27" s="49" t="n">
        <f aca="false">Accuracy!$D$12*(1+Accuracy!$D$14)*(1+Accuracy!$D$16*('Resistor Network'!I27-25))</f>
        <v>18180</v>
      </c>
      <c r="P27" s="49" t="n">
        <f aca="false">MINA(L27:O27)</f>
        <v>17820</v>
      </c>
      <c r="Q27" s="49" t="n">
        <f aca="false">MAX(L27:O27)</f>
        <v>18180</v>
      </c>
      <c r="S27" s="0" t="n">
        <f aca="false">Accuracy!$D$19</f>
        <v>0</v>
      </c>
      <c r="T27" s="49" t="n">
        <f aca="false">Accuracy!$D$19*(1-Accuracy!$D$21)*(1-Accuracy!$D$23*('Resistor Network'!I27-25))</f>
        <v>0</v>
      </c>
      <c r="U27" s="49" t="n">
        <f aca="false">Accuracy!$D$19*(1-Accuracy!$D$21)*(1+Accuracy!$D$23*('Resistor Network'!I27-25))</f>
        <v>0</v>
      </c>
      <c r="V27" s="49" t="n">
        <f aca="false">Accuracy!$D$19*(1+Accuracy!$D$21)*(1-Accuracy!$D$23*('Resistor Network'!I27-25))</f>
        <v>0</v>
      </c>
      <c r="W27" s="49" t="n">
        <f aca="false">Accuracy!$D$19*(1-Accuracy!$D$21)*(1+Accuracy!$D$23*('Resistor Network'!I27-25))</f>
        <v>0</v>
      </c>
      <c r="X27" s="49" t="n">
        <f aca="false">MINA(T27:W27)</f>
        <v>0</v>
      </c>
      <c r="Y27" s="49" t="n">
        <f aca="false">MAX(T27:W27)</f>
        <v>0</v>
      </c>
      <c r="AB27" s="46" t="n">
        <f aca="false">(D27+S27)/(D27+S27+K27)</f>
        <v>0.110144354360293</v>
      </c>
      <c r="AC27" s="46" t="n">
        <f aca="false">(E27+X27)/(E27+X27+Q27)</f>
        <v>0.106758957406836</v>
      </c>
      <c r="AD27" s="46" t="n">
        <f aca="false">(F27+Y27)/(F27+Y27+P27)</f>
        <v>0.113623448777597</v>
      </c>
      <c r="AE27" s="46"/>
      <c r="AF27" s="46"/>
      <c r="AH27" s="50"/>
      <c r="AI27" s="55"/>
      <c r="AJ27" s="50"/>
      <c r="AL27" s="49"/>
      <c r="AM27" s="49"/>
      <c r="AN27" s="49"/>
      <c r="AP27" s="46"/>
    </row>
    <row r="28" customFormat="false" ht="12.75" hidden="false" customHeight="false" outlineLevel="0" collapsed="false">
      <c r="C28" s="26" t="n">
        <f aca="false">Accuracy!F27</f>
        <v>75</v>
      </c>
      <c r="D28" s="26" t="n">
        <f aca="false">Accuracy!G27</f>
        <v>1924</v>
      </c>
      <c r="E28" s="54" t="n">
        <f aca="false">Thermistor!T28</f>
        <v>1873.6234484778</v>
      </c>
      <c r="F28" s="54" t="n">
        <f aca="false">Thermistor!U28</f>
        <v>1975.53346453214</v>
      </c>
      <c r="G28" s="44"/>
      <c r="H28" s="44" t="n">
        <v>23</v>
      </c>
      <c r="I28" s="44" t="n">
        <f aca="false">$I$42+H28*$I$44</f>
        <v>-9.33333333333334</v>
      </c>
      <c r="K28" s="0" t="n">
        <f aca="false">Accuracy!$D$12</f>
        <v>18000</v>
      </c>
      <c r="L28" s="49" t="n">
        <f aca="false">Accuracy!$D$12*(1-Accuracy!$D$14)*(1-Accuracy!$D$16*('Resistor Network'!I28-25))</f>
        <v>17820</v>
      </c>
      <c r="M28" s="49" t="n">
        <f aca="false">Accuracy!$D$12*(1-Accuracy!$D$14)*(1+Accuracy!$D$16*('Resistor Network'!I28-25))</f>
        <v>17820</v>
      </c>
      <c r="N28" s="49" t="n">
        <f aca="false">Accuracy!$D$12*(1+Accuracy!$D$14)*(1-Accuracy!$D$16*('Resistor Network'!I28-25))</f>
        <v>18180</v>
      </c>
      <c r="O28" s="49" t="n">
        <f aca="false">Accuracy!$D$12*(1+Accuracy!$D$14)*(1+Accuracy!$D$16*('Resistor Network'!I28-25))</f>
        <v>18180</v>
      </c>
      <c r="P28" s="49" t="n">
        <f aca="false">MINA(L28:O28)</f>
        <v>17820</v>
      </c>
      <c r="Q28" s="49" t="n">
        <f aca="false">MAX(L28:O28)</f>
        <v>18180</v>
      </c>
      <c r="S28" s="0" t="n">
        <f aca="false">Accuracy!$D$19</f>
        <v>0</v>
      </c>
      <c r="T28" s="49" t="n">
        <f aca="false">Accuracy!$D$19*(1-Accuracy!$D$21)*(1-Accuracy!$D$23*('Resistor Network'!I28-25))</f>
        <v>0</v>
      </c>
      <c r="U28" s="49" t="n">
        <f aca="false">Accuracy!$D$19*(1-Accuracy!$D$21)*(1+Accuracy!$D$23*('Resistor Network'!I28-25))</f>
        <v>0</v>
      </c>
      <c r="V28" s="49" t="n">
        <f aca="false">Accuracy!$D$19*(1+Accuracy!$D$21)*(1-Accuracy!$D$23*('Resistor Network'!I28-25))</f>
        <v>0</v>
      </c>
      <c r="W28" s="49" t="n">
        <f aca="false">Accuracy!$D$19*(1-Accuracy!$D$21)*(1+Accuracy!$D$23*('Resistor Network'!I28-25))</f>
        <v>0</v>
      </c>
      <c r="X28" s="49" t="n">
        <f aca="false">MINA(T28:W28)</f>
        <v>0</v>
      </c>
      <c r="Y28" s="49" t="n">
        <f aca="false">MAX(T28:W28)</f>
        <v>0</v>
      </c>
      <c r="AB28" s="46" t="n">
        <f aca="false">(D28+S28)/(D28+S28+K28)</f>
        <v>0.0965669544268219</v>
      </c>
      <c r="AC28" s="46" t="n">
        <f aca="false">(E28+X28)/(E28+X28+Q28)</f>
        <v>0.0934306686914487</v>
      </c>
      <c r="AD28" s="46" t="n">
        <f aca="false">(F28+Y28)/(F28+Y28+P28)</f>
        <v>0.09979692985146</v>
      </c>
      <c r="AE28" s="46"/>
      <c r="AF28" s="46"/>
      <c r="AH28" s="50"/>
      <c r="AI28" s="55"/>
      <c r="AJ28" s="50"/>
      <c r="AL28" s="49"/>
      <c r="AM28" s="49"/>
      <c r="AN28" s="49"/>
      <c r="AP28" s="46"/>
    </row>
    <row r="29" customFormat="false" ht="12.75" hidden="false" customHeight="false" outlineLevel="0" collapsed="false">
      <c r="C29" s="26" t="n">
        <f aca="false">Accuracy!F28</f>
        <v>80</v>
      </c>
      <c r="D29" s="26" t="n">
        <f aca="false">Accuracy!G28</f>
        <v>1668</v>
      </c>
      <c r="E29" s="54" t="n">
        <f aca="false">Thermistor!T29</f>
        <v>1622.00878234157</v>
      </c>
      <c r="F29" s="54" t="n">
        <f aca="false">Thermistor!U29</f>
        <v>1715.12374525119</v>
      </c>
      <c r="G29" s="44"/>
      <c r="H29" s="44" t="n">
        <v>24</v>
      </c>
      <c r="I29" s="44" t="n">
        <f aca="false">$I$42+H29*$I$44</f>
        <v>-8</v>
      </c>
      <c r="K29" s="0" t="n">
        <f aca="false">Accuracy!$D$12</f>
        <v>18000</v>
      </c>
      <c r="L29" s="49" t="n">
        <f aca="false">Accuracy!$D$12*(1-Accuracy!$D$14)*(1-Accuracy!$D$16*('Resistor Network'!I29-25))</f>
        <v>17820</v>
      </c>
      <c r="M29" s="49" t="n">
        <f aca="false">Accuracy!$D$12*(1-Accuracy!$D$14)*(1+Accuracy!$D$16*('Resistor Network'!I29-25))</f>
        <v>17820</v>
      </c>
      <c r="N29" s="49" t="n">
        <f aca="false">Accuracy!$D$12*(1+Accuracy!$D$14)*(1-Accuracy!$D$16*('Resistor Network'!I29-25))</f>
        <v>18180</v>
      </c>
      <c r="O29" s="49" t="n">
        <f aca="false">Accuracy!$D$12*(1+Accuracy!$D$14)*(1+Accuracy!$D$16*('Resistor Network'!I29-25))</f>
        <v>18180</v>
      </c>
      <c r="P29" s="49" t="n">
        <f aca="false">MINA(L29:O29)</f>
        <v>17820</v>
      </c>
      <c r="Q29" s="49" t="n">
        <f aca="false">MAX(L29:O29)</f>
        <v>18180</v>
      </c>
      <c r="S29" s="0" t="n">
        <f aca="false">Accuracy!$D$19</f>
        <v>0</v>
      </c>
      <c r="T29" s="49" t="n">
        <f aca="false">Accuracy!$D$19*(1-Accuracy!$D$21)*(1-Accuracy!$D$23*('Resistor Network'!I29-25))</f>
        <v>0</v>
      </c>
      <c r="U29" s="49" t="n">
        <f aca="false">Accuracy!$D$19*(1-Accuracy!$D$21)*(1+Accuracy!$D$23*('Resistor Network'!I29-25))</f>
        <v>0</v>
      </c>
      <c r="V29" s="49" t="n">
        <f aca="false">Accuracy!$D$19*(1+Accuracy!$D$21)*(1-Accuracy!$D$23*('Resistor Network'!I29-25))</f>
        <v>0</v>
      </c>
      <c r="W29" s="49" t="n">
        <f aca="false">Accuracy!$D$19*(1-Accuracy!$D$21)*(1+Accuracy!$D$23*('Resistor Network'!I29-25))</f>
        <v>0</v>
      </c>
      <c r="X29" s="49" t="n">
        <f aca="false">MINA(T29:W29)</f>
        <v>0</v>
      </c>
      <c r="Y29" s="49" t="n">
        <f aca="false">MAX(T29:W29)</f>
        <v>0</v>
      </c>
      <c r="AB29" s="46" t="n">
        <f aca="false">(D29+S29)/(D29+S29+K29)</f>
        <v>0.0848078096400244</v>
      </c>
      <c r="AC29" s="46" t="n">
        <f aca="false">(E29+X29)/(E29+X29+Q29)</f>
        <v>0.0819113252685756</v>
      </c>
      <c r="AD29" s="46" t="n">
        <f aca="false">(F29+Y29)/(F29+Y29+P29)</f>
        <v>0.0877969224877893</v>
      </c>
      <c r="AE29" s="46"/>
      <c r="AF29" s="46"/>
      <c r="AH29" s="50"/>
      <c r="AI29" s="55"/>
      <c r="AJ29" s="50"/>
      <c r="AL29" s="49"/>
      <c r="AM29" s="49"/>
      <c r="AN29" s="49"/>
      <c r="AP29" s="46"/>
    </row>
    <row r="30" customFormat="false" ht="12.75" hidden="false" customHeight="false" outlineLevel="0" collapsed="false">
      <c r="C30" s="26" t="n">
        <f aca="false">Accuracy!F29</f>
        <v>85</v>
      </c>
      <c r="D30" s="26" t="n">
        <f aca="false">Accuracy!G29</f>
        <v>1451</v>
      </c>
      <c r="E30" s="54" t="n">
        <f aca="false">Thermistor!T30</f>
        <v>1409.02688952957</v>
      </c>
      <c r="F30" s="54" t="n">
        <f aca="false">Thermistor!U30</f>
        <v>1494.07401345113</v>
      </c>
      <c r="G30" s="44"/>
      <c r="H30" s="44" t="n">
        <v>25</v>
      </c>
      <c r="I30" s="44" t="n">
        <f aca="false">$I$42+H30*$I$44</f>
        <v>-6.66666666666667</v>
      </c>
      <c r="K30" s="0" t="n">
        <f aca="false">Accuracy!$D$12</f>
        <v>18000</v>
      </c>
      <c r="L30" s="49" t="n">
        <f aca="false">Accuracy!$D$12*(1-Accuracy!$D$14)*(1-Accuracy!$D$16*('Resistor Network'!I30-25))</f>
        <v>17820</v>
      </c>
      <c r="M30" s="49" t="n">
        <f aca="false">Accuracy!$D$12*(1-Accuracy!$D$14)*(1+Accuracy!$D$16*('Resistor Network'!I30-25))</f>
        <v>17820</v>
      </c>
      <c r="N30" s="49" t="n">
        <f aca="false">Accuracy!$D$12*(1+Accuracy!$D$14)*(1-Accuracy!$D$16*('Resistor Network'!I30-25))</f>
        <v>18180</v>
      </c>
      <c r="O30" s="49" t="n">
        <f aca="false">Accuracy!$D$12*(1+Accuracy!$D$14)*(1+Accuracy!$D$16*('Resistor Network'!I30-25))</f>
        <v>18180</v>
      </c>
      <c r="P30" s="49" t="n">
        <f aca="false">MINA(L30:O30)</f>
        <v>17820</v>
      </c>
      <c r="Q30" s="49" t="n">
        <f aca="false">MAX(L30:O30)</f>
        <v>18180</v>
      </c>
      <c r="S30" s="0" t="n">
        <f aca="false">Accuracy!$D$19</f>
        <v>0</v>
      </c>
      <c r="T30" s="49" t="n">
        <f aca="false">Accuracy!$D$19*(1-Accuracy!$D$21)*(1-Accuracy!$D$23*('Resistor Network'!I30-25))</f>
        <v>0</v>
      </c>
      <c r="U30" s="49" t="n">
        <f aca="false">Accuracy!$D$19*(1-Accuracy!$D$21)*(1+Accuracy!$D$23*('Resistor Network'!I30-25))</f>
        <v>0</v>
      </c>
      <c r="V30" s="49" t="n">
        <f aca="false">Accuracy!$D$19*(1+Accuracy!$D$21)*(1-Accuracy!$D$23*('Resistor Network'!I30-25))</f>
        <v>0</v>
      </c>
      <c r="W30" s="49" t="n">
        <f aca="false">Accuracy!$D$19*(1-Accuracy!$D$21)*(1+Accuracy!$D$23*('Resistor Network'!I30-25))</f>
        <v>0</v>
      </c>
      <c r="X30" s="49" t="n">
        <f aca="false">MINA(T30:W30)</f>
        <v>0</v>
      </c>
      <c r="Y30" s="49" t="n">
        <f aca="false">MAX(T30:W30)</f>
        <v>0</v>
      </c>
      <c r="AB30" s="46" t="n">
        <f aca="false">(D30+S30)/(D30+S30+K30)</f>
        <v>0.0745977070587631</v>
      </c>
      <c r="AC30" s="46" t="n">
        <f aca="false">(E30+X30)/(E30+X30+Q30)</f>
        <v>0.0719293968748749</v>
      </c>
      <c r="AD30" s="46" t="n">
        <f aca="false">(F30+Y30)/(F30+Y30+P30)</f>
        <v>0.077356750958425</v>
      </c>
      <c r="AE30" s="46"/>
      <c r="AF30" s="46"/>
      <c r="AH30" s="50"/>
      <c r="AI30" s="55"/>
      <c r="AJ30" s="50"/>
      <c r="AL30" s="49"/>
      <c r="AM30" s="49"/>
      <c r="AN30" s="49"/>
      <c r="AP30" s="46"/>
    </row>
    <row r="31" customFormat="false" ht="12.75" hidden="false" customHeight="false" outlineLevel="0" collapsed="false">
      <c r="C31" s="26" t="n">
        <f aca="false">Accuracy!F30</f>
        <v>90</v>
      </c>
      <c r="D31" s="26" t="n">
        <f aca="false">Accuracy!G30</f>
        <v>1266</v>
      </c>
      <c r="E31" s="54" t="n">
        <f aca="false">Thermistor!T31</f>
        <v>1227.70277456966</v>
      </c>
      <c r="F31" s="54" t="n">
        <f aca="false">Thermistor!U31</f>
        <v>1305.36132816165</v>
      </c>
      <c r="G31" s="44"/>
      <c r="H31" s="44" t="n">
        <v>26</v>
      </c>
      <c r="I31" s="44" t="n">
        <f aca="false">$I$42+H31*$I$44</f>
        <v>-5.33333333333334</v>
      </c>
      <c r="K31" s="0" t="n">
        <f aca="false">Accuracy!$D$12</f>
        <v>18000</v>
      </c>
      <c r="L31" s="49" t="n">
        <f aca="false">Accuracy!$D$12*(1-Accuracy!$D$14)*(1-Accuracy!$D$16*('Resistor Network'!I31-25))</f>
        <v>17820</v>
      </c>
      <c r="M31" s="49" t="n">
        <f aca="false">Accuracy!$D$12*(1-Accuracy!$D$14)*(1+Accuracy!$D$16*('Resistor Network'!I31-25))</f>
        <v>17820</v>
      </c>
      <c r="N31" s="49" t="n">
        <f aca="false">Accuracy!$D$12*(1+Accuracy!$D$14)*(1-Accuracy!$D$16*('Resistor Network'!I31-25))</f>
        <v>18180</v>
      </c>
      <c r="O31" s="49" t="n">
        <f aca="false">Accuracy!$D$12*(1+Accuracy!$D$14)*(1+Accuracy!$D$16*('Resistor Network'!I31-25))</f>
        <v>18180</v>
      </c>
      <c r="P31" s="49" t="n">
        <f aca="false">MINA(L31:O31)</f>
        <v>17820</v>
      </c>
      <c r="Q31" s="49" t="n">
        <f aca="false">MAX(L31:O31)</f>
        <v>18180</v>
      </c>
      <c r="S31" s="0" t="n">
        <f aca="false">Accuracy!$D$19</f>
        <v>0</v>
      </c>
      <c r="T31" s="49" t="n">
        <f aca="false">Accuracy!$D$19*(1-Accuracy!$D$21)*(1-Accuracy!$D$23*('Resistor Network'!I31-25))</f>
        <v>0</v>
      </c>
      <c r="U31" s="49" t="n">
        <f aca="false">Accuracy!$D$19*(1-Accuracy!$D$21)*(1+Accuracy!$D$23*('Resistor Network'!I31-25))</f>
        <v>0</v>
      </c>
      <c r="V31" s="49" t="n">
        <f aca="false">Accuracy!$D$19*(1+Accuracy!$D$21)*(1-Accuracy!$D$23*('Resistor Network'!I31-25))</f>
        <v>0</v>
      </c>
      <c r="W31" s="49" t="n">
        <f aca="false">Accuracy!$D$19*(1-Accuracy!$D$21)*(1+Accuracy!$D$23*('Resistor Network'!I31-25))</f>
        <v>0</v>
      </c>
      <c r="X31" s="49" t="n">
        <f aca="false">MINA(T31:W31)</f>
        <v>0</v>
      </c>
      <c r="Y31" s="49" t="n">
        <f aca="false">MAX(T31:W31)</f>
        <v>0</v>
      </c>
      <c r="AB31" s="46" t="n">
        <f aca="false">(D31+S31)/(D31+S31+K31)</f>
        <v>0.0657116163189038</v>
      </c>
      <c r="AC31" s="46" t="n">
        <f aca="false">(E31+X31)/(E31+X31+Q31)</f>
        <v>0.0632585313589173</v>
      </c>
      <c r="AD31" s="46" t="n">
        <f aca="false">(F31+Y31)/(F31+Y31+P31)</f>
        <v>0.0682528975930792</v>
      </c>
      <c r="AE31" s="46"/>
      <c r="AF31" s="46"/>
      <c r="AH31" s="50"/>
      <c r="AI31" s="55"/>
      <c r="AJ31" s="50"/>
      <c r="AL31" s="49"/>
      <c r="AM31" s="49"/>
      <c r="AN31" s="49"/>
      <c r="AP31" s="46"/>
    </row>
    <row r="32" customFormat="false" ht="12.75" hidden="false" customHeight="false" outlineLevel="0" collapsed="false">
      <c r="C32" s="26" t="n">
        <f aca="false">Accuracy!F31</f>
        <v>95</v>
      </c>
      <c r="D32" s="26" t="n">
        <f aca="false">Accuracy!G31</f>
        <v>1108</v>
      </c>
      <c r="E32" s="54" t="n">
        <f aca="false">Thermistor!T32</f>
        <v>1073.0509727627</v>
      </c>
      <c r="F32" s="54" t="n">
        <f aca="false">Thermistor!U32</f>
        <v>1143.97290041082</v>
      </c>
      <c r="G32" s="44"/>
      <c r="H32" s="44" t="n">
        <v>27</v>
      </c>
      <c r="I32" s="44" t="n">
        <f aca="false">$I$42+H32*$I$44</f>
        <v>-4</v>
      </c>
      <c r="K32" s="0" t="n">
        <f aca="false">Accuracy!$D$12</f>
        <v>18000</v>
      </c>
      <c r="L32" s="49" t="n">
        <f aca="false">Accuracy!$D$12*(1-Accuracy!$D$14)*(1-Accuracy!$D$16*('Resistor Network'!I32-25))</f>
        <v>17820</v>
      </c>
      <c r="M32" s="49" t="n">
        <f aca="false">Accuracy!$D$12*(1-Accuracy!$D$14)*(1+Accuracy!$D$16*('Resistor Network'!I32-25))</f>
        <v>17820</v>
      </c>
      <c r="N32" s="49" t="n">
        <f aca="false">Accuracy!$D$12*(1+Accuracy!$D$14)*(1-Accuracy!$D$16*('Resistor Network'!I32-25))</f>
        <v>18180</v>
      </c>
      <c r="O32" s="49" t="n">
        <f aca="false">Accuracy!$D$12*(1+Accuracy!$D$14)*(1+Accuracy!$D$16*('Resistor Network'!I32-25))</f>
        <v>18180</v>
      </c>
      <c r="P32" s="49" t="n">
        <f aca="false">MINA(L32:O32)</f>
        <v>17820</v>
      </c>
      <c r="Q32" s="49" t="n">
        <f aca="false">MAX(L32:O32)</f>
        <v>18180</v>
      </c>
      <c r="S32" s="0" t="n">
        <f aca="false">Accuracy!$D$19</f>
        <v>0</v>
      </c>
      <c r="T32" s="49" t="n">
        <f aca="false">Accuracy!$D$19*(1-Accuracy!$D$21)*(1-Accuracy!$D$23*('Resistor Network'!I32-25))</f>
        <v>0</v>
      </c>
      <c r="U32" s="49" t="n">
        <f aca="false">Accuracy!$D$19*(1-Accuracy!$D$21)*(1+Accuracy!$D$23*('Resistor Network'!I32-25))</f>
        <v>0</v>
      </c>
      <c r="V32" s="49" t="n">
        <f aca="false">Accuracy!$D$19*(1+Accuracy!$D$21)*(1-Accuracy!$D$23*('Resistor Network'!I32-25))</f>
        <v>0</v>
      </c>
      <c r="W32" s="49" t="n">
        <f aca="false">Accuracy!$D$19*(1-Accuracy!$D$21)*(1+Accuracy!$D$23*('Resistor Network'!I32-25))</f>
        <v>0</v>
      </c>
      <c r="X32" s="49" t="n">
        <f aca="false">MINA(T32:W32)</f>
        <v>0</v>
      </c>
      <c r="Y32" s="49" t="n">
        <f aca="false">MAX(T32:W32)</f>
        <v>0</v>
      </c>
      <c r="AB32" s="46" t="n">
        <f aca="false">(D32+S32)/(D32+S32+K32)</f>
        <v>0.0579861837973624</v>
      </c>
      <c r="AC32" s="46" t="n">
        <f aca="false">(E32+X32)/(E32+X32+Q32)</f>
        <v>0.0557340742659825</v>
      </c>
      <c r="AD32" s="46" t="n">
        <f aca="false">(F32+Y32)/(F32+Y32+P32)</f>
        <v>0.0603234831866922</v>
      </c>
      <c r="AE32" s="46"/>
      <c r="AF32" s="46"/>
      <c r="AH32" s="50"/>
      <c r="AI32" s="55"/>
      <c r="AJ32" s="50"/>
      <c r="AL32" s="49"/>
      <c r="AM32" s="49"/>
      <c r="AN32" s="49"/>
      <c r="AP32" s="46"/>
    </row>
    <row r="33" customFormat="false" ht="12.75" hidden="false" customHeight="false" outlineLevel="0" collapsed="false">
      <c r="C33" s="26" t="n">
        <f aca="false">Accuracy!F32</f>
        <v>100</v>
      </c>
      <c r="D33" s="26" t="n">
        <f aca="false">Accuracy!G32</f>
        <v>973.1</v>
      </c>
      <c r="E33" s="54" t="n">
        <f aca="false">Thermistor!T33</f>
        <v>941.183363420306</v>
      </c>
      <c r="F33" s="54" t="n">
        <f aca="false">Thermistor!U33</f>
        <v>1005.99835742759</v>
      </c>
      <c r="G33" s="44"/>
      <c r="H33" s="44" t="n">
        <v>28</v>
      </c>
      <c r="I33" s="44" t="n">
        <f aca="false">$I$42+H33*$I$44</f>
        <v>-2.66666666666667</v>
      </c>
      <c r="K33" s="0" t="n">
        <f aca="false">Accuracy!$D$12</f>
        <v>18000</v>
      </c>
      <c r="L33" s="49" t="n">
        <f aca="false">Accuracy!$D$12*(1-Accuracy!$D$14)*(1-Accuracy!$D$16*('Resistor Network'!I33-25))</f>
        <v>17820</v>
      </c>
      <c r="M33" s="49" t="n">
        <f aca="false">Accuracy!$D$12*(1-Accuracy!$D$14)*(1+Accuracy!$D$16*('Resistor Network'!I33-25))</f>
        <v>17820</v>
      </c>
      <c r="N33" s="49" t="n">
        <f aca="false">Accuracy!$D$12*(1+Accuracy!$D$14)*(1-Accuracy!$D$16*('Resistor Network'!I33-25))</f>
        <v>18180</v>
      </c>
      <c r="O33" s="49" t="n">
        <f aca="false">Accuracy!$D$12*(1+Accuracy!$D$14)*(1+Accuracy!$D$16*('Resistor Network'!I33-25))</f>
        <v>18180</v>
      </c>
      <c r="P33" s="49" t="n">
        <f aca="false">MINA(L33:O33)</f>
        <v>17820</v>
      </c>
      <c r="Q33" s="49" t="n">
        <f aca="false">MAX(L33:O33)</f>
        <v>18180</v>
      </c>
      <c r="S33" s="0" t="n">
        <f aca="false">Accuracy!$D$19</f>
        <v>0</v>
      </c>
      <c r="T33" s="49" t="n">
        <f aca="false">Accuracy!$D$19*(1-Accuracy!$D$21)*(1-Accuracy!$D$23*('Resistor Network'!I33-25))</f>
        <v>0</v>
      </c>
      <c r="U33" s="49" t="n">
        <f aca="false">Accuracy!$D$19*(1-Accuracy!$D$21)*(1+Accuracy!$D$23*('Resistor Network'!I33-25))</f>
        <v>0</v>
      </c>
      <c r="V33" s="49" t="n">
        <f aca="false">Accuracy!$D$19*(1+Accuracy!$D$21)*(1-Accuracy!$D$23*('Resistor Network'!I33-25))</f>
        <v>0</v>
      </c>
      <c r="W33" s="49" t="n">
        <f aca="false">Accuracy!$D$19*(1-Accuracy!$D$21)*(1+Accuracy!$D$23*('Resistor Network'!I33-25))</f>
        <v>0</v>
      </c>
      <c r="X33" s="49" t="n">
        <f aca="false">MINA(T33:W33)</f>
        <v>0</v>
      </c>
      <c r="Y33" s="49" t="n">
        <f aca="false">MAX(T33:W33)</f>
        <v>0</v>
      </c>
      <c r="AB33" s="46" t="n">
        <f aca="false">(D33+S33)/(D33+S33+K33)</f>
        <v>0.0512884030548514</v>
      </c>
      <c r="AC33" s="46" t="n">
        <f aca="false">(E33+X33)/(E33+X33+Q33)</f>
        <v>0.0492220248889424</v>
      </c>
      <c r="AD33" s="46" t="n">
        <f aca="false">(F33+Y33)/(F33+Y33+P33)</f>
        <v>0.0534366538404951</v>
      </c>
      <c r="AE33" s="46"/>
      <c r="AF33" s="46"/>
      <c r="AH33" s="50"/>
      <c r="AI33" s="55"/>
      <c r="AJ33" s="50"/>
      <c r="AL33" s="49"/>
      <c r="AM33" s="49"/>
      <c r="AN33" s="49"/>
      <c r="AP33" s="46"/>
    </row>
    <row r="34" customFormat="false" ht="12.75" hidden="false" customHeight="false" outlineLevel="0" collapsed="false">
      <c r="C34" s="26" t="n">
        <f aca="false">Accuracy!F33</f>
        <v>105</v>
      </c>
      <c r="D34" s="26" t="n">
        <f aca="false">Accuracy!G33</f>
        <v>857.2</v>
      </c>
      <c r="E34" s="54" t="n">
        <f aca="false">Thermistor!T34</f>
        <v>828.034016824007</v>
      </c>
      <c r="F34" s="54" t="n">
        <f aca="false">Thermistor!U34</f>
        <v>887.304562237761</v>
      </c>
      <c r="G34" s="44"/>
      <c r="H34" s="44" t="n">
        <v>29</v>
      </c>
      <c r="I34" s="44" t="n">
        <f aca="false">$I$42+H34*$I$44</f>
        <v>-1.33333333333334</v>
      </c>
      <c r="K34" s="0" t="n">
        <f aca="false">Accuracy!$D$12</f>
        <v>18000</v>
      </c>
      <c r="L34" s="49" t="n">
        <f aca="false">Accuracy!$D$12*(1-Accuracy!$D$14)*(1-Accuracy!$D$16*('Resistor Network'!I34-25))</f>
        <v>17820</v>
      </c>
      <c r="M34" s="49" t="n">
        <f aca="false">Accuracy!$D$12*(1-Accuracy!$D$14)*(1+Accuracy!$D$16*('Resistor Network'!I34-25))</f>
        <v>17820</v>
      </c>
      <c r="N34" s="49" t="n">
        <f aca="false">Accuracy!$D$12*(1+Accuracy!$D$14)*(1-Accuracy!$D$16*('Resistor Network'!I34-25))</f>
        <v>18180</v>
      </c>
      <c r="O34" s="49" t="n">
        <f aca="false">Accuracy!$D$12*(1+Accuracy!$D$14)*(1+Accuracy!$D$16*('Resistor Network'!I34-25))</f>
        <v>18180</v>
      </c>
      <c r="P34" s="49" t="n">
        <f aca="false">MINA(L34:O34)</f>
        <v>17820</v>
      </c>
      <c r="Q34" s="49" t="n">
        <f aca="false">MAX(L34:O34)</f>
        <v>18180</v>
      </c>
      <c r="S34" s="0" t="n">
        <f aca="false">Accuracy!$D$19</f>
        <v>0</v>
      </c>
      <c r="T34" s="49" t="n">
        <f aca="false">Accuracy!$D$19*(1-Accuracy!$D$21)*(1-Accuracy!$D$23*('Resistor Network'!I34-25))</f>
        <v>0</v>
      </c>
      <c r="U34" s="49" t="n">
        <f aca="false">Accuracy!$D$19*(1-Accuracy!$D$21)*(1+Accuracy!$D$23*('Resistor Network'!I34-25))</f>
        <v>0</v>
      </c>
      <c r="V34" s="49" t="n">
        <f aca="false">Accuracy!$D$19*(1+Accuracy!$D$21)*(1-Accuracy!$D$23*('Resistor Network'!I34-25))</f>
        <v>0</v>
      </c>
      <c r="W34" s="49" t="n">
        <f aca="false">Accuracy!$D$19*(1-Accuracy!$D$21)*(1+Accuracy!$D$23*('Resistor Network'!I34-25))</f>
        <v>0</v>
      </c>
      <c r="X34" s="49" t="n">
        <f aca="false">MINA(T34:W34)</f>
        <v>0</v>
      </c>
      <c r="Y34" s="49" t="n">
        <f aca="false">MAX(T34:W34)</f>
        <v>0</v>
      </c>
      <c r="AB34" s="46" t="n">
        <f aca="false">(D34+S34)/(D34+S34+K34)</f>
        <v>0.0454574380077636</v>
      </c>
      <c r="AC34" s="46" t="n">
        <f aca="false">(E34+X34)/(E34+X34+Q34)</f>
        <v>0.0435623177068767</v>
      </c>
      <c r="AD34" s="46" t="n">
        <f aca="false">(F34+Y34)/(F34+Y34+P34)</f>
        <v>0.0474309144476569</v>
      </c>
      <c r="AE34" s="46"/>
      <c r="AF34" s="46"/>
      <c r="AH34" s="50"/>
      <c r="AI34" s="55"/>
      <c r="AJ34" s="50"/>
      <c r="AL34" s="49"/>
      <c r="AM34" s="49"/>
      <c r="AN34" s="49"/>
      <c r="AP34" s="46"/>
    </row>
    <row r="35" customFormat="false" ht="12.75" hidden="false" customHeight="false" outlineLevel="0" collapsed="false">
      <c r="C35" s="26" t="n">
        <f aca="false">Accuracy!F34</f>
        <v>110</v>
      </c>
      <c r="D35" s="26" t="n">
        <f aca="false">Accuracy!G34</f>
        <v>757.6</v>
      </c>
      <c r="E35" s="54" t="n">
        <f aca="false">Thermistor!T35</f>
        <v>730.919519844871</v>
      </c>
      <c r="F35" s="54" t="n">
        <f aca="false">Thermistor!U35</f>
        <v>785.175862242403</v>
      </c>
      <c r="G35" s="44"/>
      <c r="H35" s="44" t="n">
        <v>30</v>
      </c>
      <c r="I35" s="44" t="n">
        <f aca="false">$I$42+H35*$I$44</f>
        <v>0</v>
      </c>
      <c r="K35" s="0" t="n">
        <f aca="false">Accuracy!$D$12</f>
        <v>18000</v>
      </c>
      <c r="L35" s="49" t="n">
        <f aca="false">Accuracy!$D$12*(1-Accuracy!$D$14)*(1-Accuracy!$D$16*('Resistor Network'!I35-25))</f>
        <v>17820</v>
      </c>
      <c r="M35" s="49" t="n">
        <f aca="false">Accuracy!$D$12*(1-Accuracy!$D$14)*(1+Accuracy!$D$16*('Resistor Network'!I35-25))</f>
        <v>17820</v>
      </c>
      <c r="N35" s="49" t="n">
        <f aca="false">Accuracy!$D$12*(1+Accuracy!$D$14)*(1-Accuracy!$D$16*('Resistor Network'!I35-25))</f>
        <v>18180</v>
      </c>
      <c r="O35" s="49" t="n">
        <f aca="false">Accuracy!$D$12*(1+Accuracy!$D$14)*(1+Accuracy!$D$16*('Resistor Network'!I35-25))</f>
        <v>18180</v>
      </c>
      <c r="P35" s="49" t="n">
        <f aca="false">MINA(L35:O35)</f>
        <v>17820</v>
      </c>
      <c r="Q35" s="49" t="n">
        <f aca="false">MAX(L35:O35)</f>
        <v>18180</v>
      </c>
      <c r="S35" s="0" t="n">
        <f aca="false">Accuracy!$D$19</f>
        <v>0</v>
      </c>
      <c r="T35" s="49" t="n">
        <f aca="false">Accuracy!$D$19*(1-Accuracy!$D$21)*(1-Accuracy!$D$23*('Resistor Network'!I35-25))</f>
        <v>0</v>
      </c>
      <c r="U35" s="49" t="n">
        <f aca="false">Accuracy!$D$19*(1-Accuracy!$D$21)*(1+Accuracy!$D$23*('Resistor Network'!I35-25))</f>
        <v>0</v>
      </c>
      <c r="V35" s="49" t="n">
        <f aca="false">Accuracy!$D$19*(1+Accuracy!$D$21)*(1-Accuracy!$D$23*('Resistor Network'!I35-25))</f>
        <v>0</v>
      </c>
      <c r="W35" s="49" t="n">
        <f aca="false">Accuracy!$D$19*(1-Accuracy!$D$21)*(1+Accuracy!$D$23*('Resistor Network'!I35-25))</f>
        <v>0</v>
      </c>
      <c r="X35" s="49" t="n">
        <f aca="false">MINA(T35:W35)</f>
        <v>0</v>
      </c>
      <c r="Y35" s="49" t="n">
        <f aca="false">MAX(T35:W35)</f>
        <v>0</v>
      </c>
      <c r="AB35" s="46" t="n">
        <f aca="false">(D35+S35)/(D35+S35+K35)</f>
        <v>0.0403889623405979</v>
      </c>
      <c r="AC35" s="46" t="n">
        <f aca="false">(E35+X35)/(E35+X35+Q35)</f>
        <v>0.038650659957484</v>
      </c>
      <c r="AD35" s="46" t="n">
        <f aca="false">(F35+Y35)/(F35+Y35+P35)</f>
        <v>0.0422020123892432</v>
      </c>
      <c r="AE35" s="46"/>
      <c r="AF35" s="46"/>
      <c r="AH35" s="50"/>
      <c r="AI35" s="55"/>
      <c r="AJ35" s="50"/>
      <c r="AL35" s="49"/>
      <c r="AM35" s="49"/>
      <c r="AN35" s="49"/>
      <c r="AP35" s="46"/>
    </row>
    <row r="36" customFormat="false" ht="12.75" hidden="false" customHeight="false" outlineLevel="0" collapsed="false">
      <c r="C36" s="26" t="n">
        <f aca="false">Accuracy!F35</f>
        <v>115</v>
      </c>
      <c r="D36" s="26" t="n">
        <f aca="false">Accuracy!G35</f>
        <v>0</v>
      </c>
      <c r="E36" s="54" t="e">
        <f aca="false">Thermistor!T36</f>
        <v>#VALUE!</v>
      </c>
      <c r="F36" s="54" t="e">
        <f aca="false">Thermistor!U36</f>
        <v>#VALUE!</v>
      </c>
      <c r="G36" s="44"/>
      <c r="H36" s="44" t="n">
        <v>31</v>
      </c>
      <c r="I36" s="44" t="n">
        <f aca="false">$I$42+H36*$I$44</f>
        <v>1.33333333333333</v>
      </c>
      <c r="K36" s="0" t="n">
        <f aca="false">Accuracy!$D$12</f>
        <v>18000</v>
      </c>
      <c r="L36" s="49" t="n">
        <f aca="false">Accuracy!$D$12*(1-Accuracy!$D$14)*(1-Accuracy!$D$16*('Resistor Network'!I36-25))</f>
        <v>17820</v>
      </c>
      <c r="M36" s="49" t="n">
        <f aca="false">Accuracy!$D$12*(1-Accuracy!$D$14)*(1+Accuracy!$D$16*('Resistor Network'!I36-25))</f>
        <v>17820</v>
      </c>
      <c r="N36" s="49" t="n">
        <f aca="false">Accuracy!$D$12*(1+Accuracy!$D$14)*(1-Accuracy!$D$16*('Resistor Network'!I36-25))</f>
        <v>18180</v>
      </c>
      <c r="O36" s="49" t="n">
        <f aca="false">Accuracy!$D$12*(1+Accuracy!$D$14)*(1+Accuracy!$D$16*('Resistor Network'!I36-25))</f>
        <v>18180</v>
      </c>
      <c r="P36" s="49" t="n">
        <f aca="false">MINA(L36:O36)</f>
        <v>17820</v>
      </c>
      <c r="Q36" s="49" t="n">
        <f aca="false">MAX(L36:O36)</f>
        <v>18180</v>
      </c>
      <c r="S36" s="0" t="n">
        <f aca="false">Accuracy!$D$19</f>
        <v>0</v>
      </c>
      <c r="T36" s="49" t="n">
        <f aca="false">Accuracy!$D$19*(1-Accuracy!$D$21)*(1-Accuracy!$D$23*('Resistor Network'!I36-25))</f>
        <v>0</v>
      </c>
      <c r="U36" s="49" t="n">
        <f aca="false">Accuracy!$D$19*(1-Accuracy!$D$21)*(1+Accuracy!$D$23*('Resistor Network'!I36-25))</f>
        <v>0</v>
      </c>
      <c r="V36" s="49" t="n">
        <f aca="false">Accuracy!$D$19*(1+Accuracy!$D$21)*(1-Accuracy!$D$23*('Resistor Network'!I36-25))</f>
        <v>0</v>
      </c>
      <c r="W36" s="49" t="n">
        <f aca="false">Accuracy!$D$19*(1-Accuracy!$D$21)*(1+Accuracy!$D$23*('Resistor Network'!I36-25))</f>
        <v>0</v>
      </c>
      <c r="X36" s="49" t="n">
        <f aca="false">MINA(T36:W36)</f>
        <v>0</v>
      </c>
      <c r="Y36" s="49" t="n">
        <f aca="false">MAX(T36:W36)</f>
        <v>0</v>
      </c>
      <c r="AB36" s="46" t="n">
        <f aca="false">(D36+S36)/(D36+S36+K36)</f>
        <v>0</v>
      </c>
      <c r="AC36" s="46" t="e">
        <f aca="false">(E36+X36)/(E36+X36+Q36)</f>
        <v>#VALUE!</v>
      </c>
      <c r="AD36" s="46" t="e">
        <f aca="false">(F36+Y36)/(F36+Y36+P36)</f>
        <v>#VALUE!</v>
      </c>
      <c r="AE36" s="46"/>
      <c r="AF36" s="46"/>
      <c r="AH36" s="50"/>
      <c r="AI36" s="55"/>
      <c r="AJ36" s="50"/>
      <c r="AL36" s="49"/>
      <c r="AM36" s="49"/>
      <c r="AN36" s="49"/>
      <c r="AP36" s="46"/>
    </row>
    <row r="37" customFormat="false" ht="12.75" hidden="false" customHeight="false" outlineLevel="0" collapsed="false">
      <c r="C37" s="26" t="n">
        <f aca="false">Accuracy!F36</f>
        <v>0</v>
      </c>
      <c r="D37" s="26" t="n">
        <f aca="false">Accuracy!G36</f>
        <v>0</v>
      </c>
      <c r="E37" s="54" t="e">
        <f aca="false">Thermistor!T37</f>
        <v>#VALUE!</v>
      </c>
      <c r="F37" s="54" t="e">
        <f aca="false">Thermistor!U37</f>
        <v>#VALUE!</v>
      </c>
      <c r="G37" s="44"/>
      <c r="H37" s="44" t="n">
        <v>32</v>
      </c>
      <c r="I37" s="44" t="n">
        <f aca="false">$I$42+H37*$I$44</f>
        <v>2.66666666666666</v>
      </c>
      <c r="K37" s="0" t="n">
        <f aca="false">Accuracy!$D$12</f>
        <v>18000</v>
      </c>
      <c r="L37" s="49" t="n">
        <f aca="false">Accuracy!$D$12*(1-Accuracy!$D$14)*(1-Accuracy!$D$16*('Resistor Network'!I37-25))</f>
        <v>17820</v>
      </c>
      <c r="M37" s="49" t="n">
        <f aca="false">Accuracy!$D$12*(1-Accuracy!$D$14)*(1+Accuracy!$D$16*('Resistor Network'!I37-25))</f>
        <v>17820</v>
      </c>
      <c r="N37" s="49" t="n">
        <f aca="false">Accuracy!$D$12*(1+Accuracy!$D$14)*(1-Accuracy!$D$16*('Resistor Network'!I37-25))</f>
        <v>18180</v>
      </c>
      <c r="O37" s="49" t="n">
        <f aca="false">Accuracy!$D$12*(1+Accuracy!$D$14)*(1+Accuracy!$D$16*('Resistor Network'!I37-25))</f>
        <v>18180</v>
      </c>
      <c r="P37" s="49" t="n">
        <f aca="false">MINA(L37:O37)</f>
        <v>17820</v>
      </c>
      <c r="Q37" s="49" t="n">
        <f aca="false">MAX(L37:O37)</f>
        <v>18180</v>
      </c>
      <c r="S37" s="0" t="n">
        <f aca="false">Accuracy!$D$19</f>
        <v>0</v>
      </c>
      <c r="T37" s="49" t="n">
        <f aca="false">Accuracy!$D$19*(1-Accuracy!$D$21)*(1-Accuracy!$D$23*('Resistor Network'!I37-25))</f>
        <v>0</v>
      </c>
      <c r="U37" s="49" t="n">
        <f aca="false">Accuracy!$D$19*(1-Accuracy!$D$21)*(1+Accuracy!$D$23*('Resistor Network'!I37-25))</f>
        <v>0</v>
      </c>
      <c r="V37" s="49" t="n">
        <f aca="false">Accuracy!$D$19*(1+Accuracy!$D$21)*(1-Accuracy!$D$23*('Resistor Network'!I37-25))</f>
        <v>0</v>
      </c>
      <c r="W37" s="49" t="n">
        <f aca="false">Accuracy!$D$19*(1-Accuracy!$D$21)*(1+Accuracy!$D$23*('Resistor Network'!I37-25))</f>
        <v>0</v>
      </c>
      <c r="X37" s="49" t="n">
        <f aca="false">MINA(T37:W37)</f>
        <v>0</v>
      </c>
      <c r="Y37" s="49" t="n">
        <f aca="false">MAX(T37:W37)</f>
        <v>0</v>
      </c>
      <c r="AB37" s="46" t="n">
        <f aca="false">(D37+S37)/(D37+S37+K37)</f>
        <v>0</v>
      </c>
      <c r="AC37" s="46" t="e">
        <f aca="false">(E37+X37)/(E37+X37+Q37)</f>
        <v>#VALUE!</v>
      </c>
      <c r="AD37" s="46" t="e">
        <f aca="false">(F37+Y37)/(F37+Y37+P37)</f>
        <v>#VALUE!</v>
      </c>
      <c r="AE37" s="46"/>
      <c r="AF37" s="46"/>
      <c r="AH37" s="50"/>
      <c r="AI37" s="55"/>
      <c r="AJ37" s="50"/>
      <c r="AL37" s="49"/>
      <c r="AM37" s="49"/>
      <c r="AN37" s="49"/>
      <c r="AP37" s="46"/>
    </row>
    <row r="38" customFormat="false" ht="12.75" hidden="false" customHeight="false" outlineLevel="0" collapsed="false">
      <c r="C38" s="26" t="n">
        <f aca="false">Accuracy!F37</f>
        <v>0</v>
      </c>
      <c r="D38" s="26" t="n">
        <f aca="false">Accuracy!G37</f>
        <v>0</v>
      </c>
      <c r="E38" s="54" t="e">
        <f aca="false">Thermistor!T38</f>
        <v>#VALUE!</v>
      </c>
      <c r="F38" s="54" t="e">
        <f aca="false">Thermistor!U38</f>
        <v>#VALUE!</v>
      </c>
      <c r="G38" s="44"/>
      <c r="H38" s="44" t="n">
        <v>33</v>
      </c>
      <c r="I38" s="44" t="n">
        <f aca="false">$I$42+H38*$I$44</f>
        <v>4</v>
      </c>
      <c r="K38" s="0" t="n">
        <f aca="false">Accuracy!$D$12</f>
        <v>18000</v>
      </c>
      <c r="L38" s="49" t="n">
        <f aca="false">Accuracy!$D$12*(1-Accuracy!$D$14)*(1-Accuracy!$D$16*('Resistor Network'!I38-25))</f>
        <v>17820</v>
      </c>
      <c r="M38" s="49" t="n">
        <f aca="false">Accuracy!$D$12*(1-Accuracy!$D$14)*(1+Accuracy!$D$16*('Resistor Network'!I38-25))</f>
        <v>17820</v>
      </c>
      <c r="N38" s="49" t="n">
        <f aca="false">Accuracy!$D$12*(1+Accuracy!$D$14)*(1-Accuracy!$D$16*('Resistor Network'!I38-25))</f>
        <v>18180</v>
      </c>
      <c r="O38" s="49" t="n">
        <f aca="false">Accuracy!$D$12*(1+Accuracy!$D$14)*(1+Accuracy!$D$16*('Resistor Network'!I38-25))</f>
        <v>18180</v>
      </c>
      <c r="P38" s="49" t="n">
        <f aca="false">MINA(L38:O38)</f>
        <v>17820</v>
      </c>
      <c r="Q38" s="49" t="n">
        <f aca="false">MAX(L38:O38)</f>
        <v>18180</v>
      </c>
      <c r="S38" s="0" t="n">
        <f aca="false">Accuracy!$D$19</f>
        <v>0</v>
      </c>
      <c r="T38" s="49" t="n">
        <f aca="false">Accuracy!$D$19*(1-Accuracy!$D$21)*(1-Accuracy!$D$23*('Resistor Network'!I38-25))</f>
        <v>0</v>
      </c>
      <c r="U38" s="49" t="n">
        <f aca="false">Accuracy!$D$19*(1-Accuracy!$D$21)*(1+Accuracy!$D$23*('Resistor Network'!I38-25))</f>
        <v>0</v>
      </c>
      <c r="V38" s="49" t="n">
        <f aca="false">Accuracy!$D$19*(1+Accuracy!$D$21)*(1-Accuracy!$D$23*('Resistor Network'!I38-25))</f>
        <v>0</v>
      </c>
      <c r="W38" s="49" t="n">
        <f aca="false">Accuracy!$D$19*(1-Accuracy!$D$21)*(1+Accuracy!$D$23*('Resistor Network'!I38-25))</f>
        <v>0</v>
      </c>
      <c r="X38" s="49" t="n">
        <f aca="false">MINA(T38:W38)</f>
        <v>0</v>
      </c>
      <c r="Y38" s="49" t="n">
        <f aca="false">MAX(T38:W38)</f>
        <v>0</v>
      </c>
      <c r="AB38" s="46" t="n">
        <f aca="false">(D38+S38)/(D38+S38+K38)</f>
        <v>0</v>
      </c>
      <c r="AC38" s="46" t="e">
        <f aca="false">(E38+X38)/(E38+X38+Q38)</f>
        <v>#VALUE!</v>
      </c>
      <c r="AD38" s="46" t="e">
        <f aca="false">(F38+Y38)/(F38+Y38+P38)</f>
        <v>#VALUE!</v>
      </c>
      <c r="AE38" s="46"/>
      <c r="AF38" s="46"/>
      <c r="AH38" s="50"/>
      <c r="AI38" s="55"/>
      <c r="AJ38" s="50"/>
      <c r="AL38" s="49"/>
      <c r="AM38" s="49"/>
      <c r="AN38" s="49"/>
      <c r="AP38" s="46"/>
    </row>
    <row r="39" customFormat="false" ht="12.75" hidden="false" customHeight="false" outlineLevel="0" collapsed="false">
      <c r="C39" s="26" t="n">
        <f aca="false">Accuracy!F38</f>
        <v>0</v>
      </c>
      <c r="D39" s="26" t="n">
        <f aca="false">Accuracy!G38</f>
        <v>0</v>
      </c>
      <c r="E39" s="54" t="e">
        <f aca="false">Thermistor!T39</f>
        <v>#VALUE!</v>
      </c>
      <c r="F39" s="54" t="e">
        <f aca="false">Thermistor!U39</f>
        <v>#VALUE!</v>
      </c>
      <c r="G39" s="44"/>
      <c r="H39" s="44" t="n">
        <v>34</v>
      </c>
      <c r="I39" s="44" t="n">
        <f aca="false">$I$42+H39*$I$44</f>
        <v>5.33333333333333</v>
      </c>
      <c r="K39" s="0" t="n">
        <f aca="false">Accuracy!$D$12</f>
        <v>18000</v>
      </c>
      <c r="L39" s="49" t="n">
        <f aca="false">Accuracy!$D$12*(1-Accuracy!$D$14)*(1-Accuracy!$D$16*('Resistor Network'!I39-25))</f>
        <v>17820</v>
      </c>
      <c r="M39" s="49" t="n">
        <f aca="false">Accuracy!$D$12*(1-Accuracy!$D$14)*(1+Accuracy!$D$16*('Resistor Network'!I39-25))</f>
        <v>17820</v>
      </c>
      <c r="N39" s="49" t="n">
        <f aca="false">Accuracy!$D$12*(1+Accuracy!$D$14)*(1-Accuracy!$D$16*('Resistor Network'!I39-25))</f>
        <v>18180</v>
      </c>
      <c r="O39" s="49" t="n">
        <f aca="false">Accuracy!$D$12*(1+Accuracy!$D$14)*(1+Accuracy!$D$16*('Resistor Network'!I39-25))</f>
        <v>18180</v>
      </c>
      <c r="P39" s="49" t="n">
        <f aca="false">MINA(L39:O39)</f>
        <v>17820</v>
      </c>
      <c r="Q39" s="49" t="n">
        <f aca="false">MAX(L39:O39)</f>
        <v>18180</v>
      </c>
      <c r="S39" s="0" t="n">
        <f aca="false">Accuracy!$D$19</f>
        <v>0</v>
      </c>
      <c r="T39" s="49" t="n">
        <f aca="false">Accuracy!$D$19*(1-Accuracy!$D$21)*(1-Accuracy!$D$23*('Resistor Network'!I39-25))</f>
        <v>0</v>
      </c>
      <c r="U39" s="49" t="n">
        <f aca="false">Accuracy!$D$19*(1-Accuracy!$D$21)*(1+Accuracy!$D$23*('Resistor Network'!I39-25))</f>
        <v>0</v>
      </c>
      <c r="V39" s="49" t="n">
        <f aca="false">Accuracy!$D$19*(1+Accuracy!$D$21)*(1-Accuracy!$D$23*('Resistor Network'!I39-25))</f>
        <v>0</v>
      </c>
      <c r="W39" s="49" t="n">
        <f aca="false">Accuracy!$D$19*(1-Accuracy!$D$21)*(1+Accuracy!$D$23*('Resistor Network'!I39-25))</f>
        <v>0</v>
      </c>
      <c r="X39" s="49" t="n">
        <f aca="false">MINA(T39:W39)</f>
        <v>0</v>
      </c>
      <c r="Y39" s="49" t="n">
        <f aca="false">MAX(T39:W39)</f>
        <v>0</v>
      </c>
      <c r="AB39" s="46" t="n">
        <f aca="false">(D39+S39)/(D39+S39+K39)</f>
        <v>0</v>
      </c>
      <c r="AC39" s="46" t="e">
        <f aca="false">(E39+X39)/(E39+X39+Q39)</f>
        <v>#VALUE!</v>
      </c>
      <c r="AD39" s="46" t="e">
        <f aca="false">(F39+Y39)/(F39+Y39+P39)</f>
        <v>#VALUE!</v>
      </c>
      <c r="AE39" s="46"/>
      <c r="AF39" s="46"/>
      <c r="AH39" s="50"/>
      <c r="AI39" s="55"/>
      <c r="AJ39" s="50"/>
      <c r="AL39" s="49"/>
      <c r="AM39" s="49"/>
      <c r="AN39" s="49"/>
      <c r="AP39" s="46"/>
    </row>
    <row r="40" customFormat="false" ht="12.75" hidden="false" customHeight="false" outlineLevel="0" collapsed="false">
      <c r="C40" s="26" t="n">
        <f aca="false">Accuracy!F39</f>
        <v>0</v>
      </c>
      <c r="D40" s="26" t="n">
        <f aca="false">Accuracy!G39</f>
        <v>0</v>
      </c>
      <c r="E40" s="54" t="e">
        <f aca="false">Thermistor!T40</f>
        <v>#VALUE!</v>
      </c>
      <c r="F40" s="54" t="e">
        <f aca="false">Thermistor!U40</f>
        <v>#VALUE!</v>
      </c>
      <c r="G40" s="44"/>
      <c r="H40" s="44" t="n">
        <v>35</v>
      </c>
      <c r="I40" s="44" t="n">
        <f aca="false">$I$42+H40*$I$44</f>
        <v>6.66666666666666</v>
      </c>
      <c r="K40" s="0" t="n">
        <f aca="false">Accuracy!$D$12</f>
        <v>18000</v>
      </c>
      <c r="L40" s="49" t="n">
        <f aca="false">Accuracy!$D$12*(1-Accuracy!$D$14)*(1-Accuracy!$D$16*('Resistor Network'!I40-25))</f>
        <v>17820</v>
      </c>
      <c r="M40" s="49" t="n">
        <f aca="false">Accuracy!$D$12*(1-Accuracy!$D$14)*(1+Accuracy!$D$16*('Resistor Network'!I40-25))</f>
        <v>17820</v>
      </c>
      <c r="N40" s="49" t="n">
        <f aca="false">Accuracy!$D$12*(1+Accuracy!$D$14)*(1-Accuracy!$D$16*('Resistor Network'!I40-25))</f>
        <v>18180</v>
      </c>
      <c r="O40" s="49" t="n">
        <f aca="false">Accuracy!$D$12*(1+Accuracy!$D$14)*(1+Accuracy!$D$16*('Resistor Network'!I40-25))</f>
        <v>18180</v>
      </c>
      <c r="P40" s="49" t="n">
        <f aca="false">MINA(L40:O40)</f>
        <v>17820</v>
      </c>
      <c r="Q40" s="49" t="n">
        <f aca="false">MAX(L40:O40)</f>
        <v>18180</v>
      </c>
      <c r="S40" s="0" t="n">
        <f aca="false">Accuracy!$D$19</f>
        <v>0</v>
      </c>
      <c r="T40" s="49" t="n">
        <f aca="false">Accuracy!$D$19*(1-Accuracy!$D$21)*(1-Accuracy!$D$23*('Resistor Network'!I40-25))</f>
        <v>0</v>
      </c>
      <c r="U40" s="49" t="n">
        <f aca="false">Accuracy!$D$19*(1-Accuracy!$D$21)*(1+Accuracy!$D$23*('Resistor Network'!I40-25))</f>
        <v>0</v>
      </c>
      <c r="V40" s="49" t="n">
        <f aca="false">Accuracy!$D$19*(1+Accuracy!$D$21)*(1-Accuracy!$D$23*('Resistor Network'!I40-25))</f>
        <v>0</v>
      </c>
      <c r="W40" s="49" t="n">
        <f aca="false">Accuracy!$D$19*(1-Accuracy!$D$21)*(1+Accuracy!$D$23*('Resistor Network'!I40-25))</f>
        <v>0</v>
      </c>
      <c r="X40" s="49" t="n">
        <f aca="false">MINA(T40:W40)</f>
        <v>0</v>
      </c>
      <c r="Y40" s="49" t="n">
        <f aca="false">MAX(T40:W40)</f>
        <v>0</v>
      </c>
      <c r="AB40" s="46" t="n">
        <f aca="false">(D40+S40)/(D40+S40+K40)</f>
        <v>0</v>
      </c>
      <c r="AC40" s="46" t="e">
        <f aca="false">(E40+X40)/(E40+X40+Q40)</f>
        <v>#VALUE!</v>
      </c>
      <c r="AD40" s="46" t="e">
        <f aca="false">(F40+Y40)/(F40+Y40+P40)</f>
        <v>#VALUE!</v>
      </c>
      <c r="AE40" s="46"/>
      <c r="AF40" s="46"/>
      <c r="AH40" s="50"/>
      <c r="AI40" s="55"/>
      <c r="AJ40" s="50"/>
      <c r="AL40" s="49"/>
      <c r="AM40" s="49"/>
      <c r="AN40" s="49"/>
      <c r="AP40" s="46"/>
    </row>
    <row r="41" customFormat="false" ht="12.75" hidden="false" customHeight="false" outlineLevel="0" collapsed="false">
      <c r="H41" s="44"/>
      <c r="I41" s="44"/>
    </row>
    <row r="42" customFormat="false" ht="12.75" hidden="false" customHeight="false" outlineLevel="0" collapsed="false">
      <c r="G42" s="0" t="s">
        <v>85</v>
      </c>
      <c r="I42" s="0" t="n">
        <f aca="false">C5</f>
        <v>-40</v>
      </c>
    </row>
    <row r="43" customFormat="false" ht="12.75" hidden="false" customHeight="false" outlineLevel="0" collapsed="false">
      <c r="G43" s="0" t="s">
        <v>86</v>
      </c>
      <c r="I43" s="35" t="n">
        <f aca="false">C40</f>
        <v>0</v>
      </c>
      <c r="AA43" s="0" t="s">
        <v>87</v>
      </c>
      <c r="AB43" s="0" t="s">
        <v>88</v>
      </c>
      <c r="AC43" s="0" t="s">
        <v>89</v>
      </c>
      <c r="AS43" s="35"/>
    </row>
    <row r="44" customFormat="false" ht="12.75" hidden="false" customHeight="false" outlineLevel="0" collapsed="false">
      <c r="G44" s="0" t="s">
        <v>90</v>
      </c>
      <c r="I44" s="0" t="n">
        <f aca="false">(I43-I42)/30</f>
        <v>1.33333333333333</v>
      </c>
      <c r="AA44" s="26" t="n">
        <f aca="false">Accuracy!D3</f>
        <v>-40</v>
      </c>
      <c r="AB44" s="0" t="n">
        <f aca="false">LOOKUP(AA44,C5:C40,AB5:AB40)</f>
        <v>0.912832929782082</v>
      </c>
      <c r="AC44" s="0" t="s">
        <v>91</v>
      </c>
      <c r="AD44" s="0" t="n">
        <f aca="false">(AB45-AB44)/(AA45-AA44)</f>
        <v>-0.00581629311627656</v>
      </c>
      <c r="AS44" s="35"/>
    </row>
    <row r="45" customFormat="false" ht="12.75" hidden="false" customHeight="false" outlineLevel="0" collapsed="false">
      <c r="AA45" s="26" t="n">
        <f aca="false">Accuracy!D4</f>
        <v>110</v>
      </c>
      <c r="AB45" s="0" t="n">
        <f aca="false">LOOKUP(AA45,C5:C40,AB5:AB40)</f>
        <v>0.0403889623405979</v>
      </c>
      <c r="AC45" s="0" t="s">
        <v>92</v>
      </c>
      <c r="AD45" s="0" t="n">
        <f aca="false">AB44-AD44*AA44</f>
        <v>0.68018120513102</v>
      </c>
    </row>
    <row r="50" customFormat="false" ht="12.75" hidden="false" customHeight="false" outlineLevel="0" collapsed="false">
      <c r="AC50" s="56"/>
      <c r="AD50" s="57"/>
      <c r="AE50" s="57"/>
    </row>
    <row r="51" customFormat="false" ht="12.75" hidden="false" customHeight="false" outlineLevel="0" collapsed="false">
      <c r="AC51" s="57"/>
      <c r="AD51" s="57"/>
      <c r="AE51" s="57"/>
    </row>
    <row r="52" customFormat="false" ht="12.75" hidden="false" customHeight="false" outlineLevel="0" collapsed="false">
      <c r="AC52" s="57"/>
      <c r="AD52" s="58"/>
      <c r="AE52" s="58"/>
    </row>
    <row r="53" customFormat="false" ht="12.75" hidden="false" customHeight="false" outlineLevel="0" collapsed="false">
      <c r="AC53" s="57"/>
      <c r="AD53" s="58"/>
      <c r="AE53" s="58"/>
    </row>
    <row r="54" customFormat="false" ht="12.75" hidden="false" customHeight="false" outlineLevel="0" collapsed="false">
      <c r="AC54" s="57"/>
      <c r="AD54" s="58"/>
      <c r="AE54" s="58"/>
    </row>
    <row r="55" customFormat="false" ht="12.75" hidden="false" customHeight="false" outlineLevel="0" collapsed="false">
      <c r="AC55" s="57"/>
      <c r="AD55" s="58"/>
      <c r="AE55" s="58"/>
    </row>
    <row r="56" customFormat="false" ht="12.75" hidden="false" customHeight="false" outlineLevel="0" collapsed="false">
      <c r="AC56" s="59"/>
      <c r="AD56" s="57"/>
      <c r="AE56" s="57"/>
    </row>
    <row r="57" customFormat="false" ht="12.75" hidden="false" customHeight="false" outlineLevel="0" collapsed="false">
      <c r="AC57" s="59"/>
      <c r="AD57" s="58"/>
      <c r="AE57" s="35"/>
    </row>
    <row r="61" customFormat="false" ht="12.75" hidden="false" customHeight="false" outlineLevel="0" collapsed="false">
      <c r="AG61" s="56"/>
      <c r="AH61" s="60"/>
      <c r="AI61" s="60"/>
    </row>
    <row r="62" customFormat="false" ht="12.75" hidden="false" customHeight="false" outlineLevel="0" collapsed="false">
      <c r="AG62" s="60"/>
      <c r="AH62" s="60"/>
      <c r="AI62" s="60"/>
    </row>
    <row r="63" customFormat="false" ht="12.75" hidden="false" customHeight="false" outlineLevel="0" collapsed="false">
      <c r="AG63" s="60"/>
      <c r="AH63" s="61"/>
      <c r="AI63" s="61"/>
    </row>
    <row r="64" customFormat="false" ht="12.75" hidden="false" customHeight="false" outlineLevel="0" collapsed="false">
      <c r="AG64" s="60"/>
      <c r="AH64" s="61"/>
      <c r="AI64" s="6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X47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0" activeCellId="0" sqref="I20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7" min="16" style="0" width="8.29"/>
    <col collapsed="false" customWidth="true" hidden="false" outlineLevel="0" max="18" min="18" style="0" width="13.15"/>
    <col collapsed="false" customWidth="true" hidden="false" outlineLevel="0" max="28" min="28" style="0" width="10.57"/>
    <col collapsed="false" customWidth="true" hidden="false" outlineLevel="0" max="30" min="30" style="0" width="9.57"/>
  </cols>
  <sheetData>
    <row r="1" customFormat="false" ht="12.75" hidden="false" customHeight="false" outlineLevel="0" collapsed="false">
      <c r="J1" s="0" t="s">
        <v>93</v>
      </c>
      <c r="K1" s="0" t="s">
        <v>94</v>
      </c>
      <c r="L1" s="0" t="s">
        <v>95</v>
      </c>
    </row>
    <row r="2" customFormat="false" ht="12.75" hidden="false" customHeight="false" outlineLevel="0" collapsed="false">
      <c r="J2" s="62" t="n">
        <v>1.8</v>
      </c>
      <c r="K2" s="62" t="n">
        <v>15</v>
      </c>
      <c r="L2" s="0" t="n">
        <f aca="false">J2/2^K2</f>
        <v>5.4931640625E-005</v>
      </c>
    </row>
    <row r="3" customFormat="false" ht="12.75" hidden="false" customHeight="false" outlineLevel="0" collapsed="false">
      <c r="J3" s="0" t="s">
        <v>96</v>
      </c>
    </row>
    <row r="4" customFormat="false" ht="12.75" hidden="false" customHeight="false" outlineLevel="0" collapsed="false">
      <c r="B4" s="26" t="s">
        <v>97</v>
      </c>
      <c r="C4" s="26" t="s">
        <v>45</v>
      </c>
      <c r="D4" s="26" t="str">
        <f aca="false">'Resistor Network'!AB4</f>
        <v>Vout/Vin</v>
      </c>
      <c r="E4" s="26" t="str">
        <f aca="false">'Resistor Network'!AC4</f>
        <v>Vout/Vin min</v>
      </c>
      <c r="F4" s="26" t="str">
        <f aca="false">'Resistor Network'!AD4</f>
        <v>Vout/Vin max</v>
      </c>
      <c r="G4" s="35"/>
      <c r="H4" s="35" t="s">
        <v>98</v>
      </c>
      <c r="J4" s="0" t="s">
        <v>99</v>
      </c>
      <c r="K4" s="0" t="s">
        <v>100</v>
      </c>
      <c r="L4" s="0" t="s">
        <v>101</v>
      </c>
      <c r="AD4" s="0" t="s">
        <v>102</v>
      </c>
      <c r="AH4" s="0" t="s">
        <v>103</v>
      </c>
      <c r="AK4" s="0" t="s">
        <v>104</v>
      </c>
      <c r="AL4" s="0" t="s">
        <v>105</v>
      </c>
      <c r="AN4" s="0" t="s">
        <v>106</v>
      </c>
      <c r="AR4" s="0" t="s">
        <v>103</v>
      </c>
      <c r="AU4" s="0" t="s">
        <v>104</v>
      </c>
      <c r="AV4" s="0" t="s">
        <v>105</v>
      </c>
    </row>
    <row r="5" customFormat="false" ht="12.75" hidden="false" customHeight="false" outlineLevel="0" collapsed="false">
      <c r="B5" s="26" t="n">
        <f aca="false">Accuracy!D26</f>
        <v>25</v>
      </c>
      <c r="C5" s="26" t="n">
        <f aca="false">Accuracy!F4</f>
        <v>-40</v>
      </c>
      <c r="D5" s="26" t="n">
        <f aca="false">'Resistor Network'!AB5</f>
        <v>0.912832929782082</v>
      </c>
      <c r="E5" s="26" t="n">
        <f aca="false">'Resistor Network'!AC5</f>
        <v>0.908824058139175</v>
      </c>
      <c r="F5" s="26" t="n">
        <f aca="false">'Resistor Network'!AD5</f>
        <v>0.916681696631771</v>
      </c>
      <c r="G5" s="35"/>
      <c r="H5" s="0" t="str">
        <f aca="false">ADDRESS(MATCH($B$5,$C$5:$C$40,0)+4,3)</f>
        <v>$C$18</v>
      </c>
      <c r="J5" s="0" t="n">
        <f aca="false">ROUND(D5*2^$K$2,0)</f>
        <v>29912</v>
      </c>
      <c r="K5" s="0" t="n">
        <f aca="false">ROUND(E5*2^$K$2,0)</f>
        <v>29780</v>
      </c>
      <c r="L5" s="0" t="n">
        <f aca="false">ROUND(F5*2^$K$2,0)</f>
        <v>30038</v>
      </c>
      <c r="N5" s="48" t="n">
        <f aca="false">J5/2^15</f>
        <v>0.912841796875</v>
      </c>
      <c r="O5" s="48" t="n">
        <f aca="false">K5/2^15</f>
        <v>0.9088134765625</v>
      </c>
      <c r="P5" s="48" t="n">
        <f aca="false">L5/2^15</f>
        <v>0.91668701171875</v>
      </c>
      <c r="Q5" s="48"/>
      <c r="R5" s="48" t="n">
        <f aca="false">N5/($R$42*N5^4+$R$43*N5^3+$R$44*N5^2+$R$45*N5+$R$46)*2^14</f>
        <v>0.858275581481983</v>
      </c>
      <c r="S5" s="48" t="n">
        <f aca="false">O5/($R$42*O5^4+$R$43*O5^3+$R$44*O5^2+$R$45*O5+$R$46)*2^14</f>
        <v>0.855740205675937</v>
      </c>
      <c r="T5" s="48" t="n">
        <f aca="false">P5/($R$42*P5^4+$R$43*P5^3+$R$44*P5^2+$R$45*P5+$R$46)*2^14</f>
        <v>0.86073104996247</v>
      </c>
      <c r="V5" s="48" t="n">
        <f aca="false">R5</f>
        <v>0.858275581481983</v>
      </c>
      <c r="W5" s="48" t="n">
        <f aca="false">S5</f>
        <v>0.855740205675937</v>
      </c>
      <c r="X5" s="48" t="n">
        <f aca="false">T5</f>
        <v>0.86073104996247</v>
      </c>
      <c r="Z5" s="0" t="n">
        <f aca="false">$Z$43*V5^3+$Z$44*V5^2+$Z$45*V5+$Z$46</f>
        <v>2337.25368959347</v>
      </c>
      <c r="AA5" s="0" t="n">
        <f aca="false">$Z$43*W5^3+$Z$44*W5^2+$Z$45*W5+$Z$46</f>
        <v>2344.99964523154</v>
      </c>
      <c r="AB5" s="0" t="n">
        <f aca="false">$Z$43*X5^3+$Z$44*X5^2+$Z$45*X5+$Z$46</f>
        <v>2329.75223224556</v>
      </c>
      <c r="AC5" s="48"/>
      <c r="AD5" s="49" t="n">
        <f aca="false">ROUND(Z5/10-273.15,1)</f>
        <v>-39.4</v>
      </c>
      <c r="AE5" s="49" t="n">
        <f aca="false">ROUND(AA5/10-273.15,1)</f>
        <v>-38.7</v>
      </c>
      <c r="AF5" s="49" t="n">
        <f aca="false">ROUND(AB5/10-273.15,1)</f>
        <v>-40.2</v>
      </c>
      <c r="AG5" s="50"/>
      <c r="AH5" s="49" t="n">
        <f aca="false">AD5-$C5</f>
        <v>0.600000000000001</v>
      </c>
      <c r="AI5" s="49" t="n">
        <f aca="false">AE5-$C5</f>
        <v>1.3</v>
      </c>
      <c r="AJ5" s="49" t="n">
        <f aca="false">AF5-$C5</f>
        <v>-0.200000000000003</v>
      </c>
      <c r="AK5" s="48" t="n">
        <f aca="false">MINA(AI5:AJ5)</f>
        <v>-0.200000000000003</v>
      </c>
      <c r="AL5" s="48" t="n">
        <f aca="false">MAX(AI5:AJ5)</f>
        <v>1.3</v>
      </c>
      <c r="AN5" s="48" t="n">
        <f aca="false">AD5-($AD$18-$B$5)</f>
        <v>-39.3</v>
      </c>
      <c r="AO5" s="48" t="n">
        <f aca="false">AE5-($AE$18-$B$5)</f>
        <v>-39.2</v>
      </c>
      <c r="AP5" s="48" t="n">
        <f aca="false">AF5-($AF$18-$B$5)</f>
        <v>-39.6</v>
      </c>
      <c r="AQ5" s="48"/>
      <c r="AR5" s="49" t="n">
        <f aca="false">AN5-$C5</f>
        <v>0.700000000000003</v>
      </c>
      <c r="AS5" s="49" t="n">
        <f aca="false">AO5-$C5</f>
        <v>0.799999999999997</v>
      </c>
      <c r="AT5" s="49" t="n">
        <f aca="false">AP5-$C5</f>
        <v>0.399999999999999</v>
      </c>
      <c r="AU5" s="48" t="n">
        <f aca="false">MINA(AS5:AT5)</f>
        <v>0.399999999999999</v>
      </c>
      <c r="AV5" s="48" t="n">
        <f aca="false">MAX(AS5:AT5)</f>
        <v>0.799999999999997</v>
      </c>
      <c r="AW5" s="48"/>
      <c r="AX5" s="48"/>
    </row>
    <row r="6" customFormat="false" ht="12.75" hidden="false" customHeight="false" outlineLevel="0" collapsed="false">
      <c r="C6" s="26" t="n">
        <f aca="false">Accuracy!F5</f>
        <v>-35</v>
      </c>
      <c r="D6" s="26" t="n">
        <f aca="false">'Resistor Network'!AB6</f>
        <v>0.888957433682912</v>
      </c>
      <c r="E6" s="26" t="n">
        <f aca="false">'Resistor Network'!AC6</f>
        <v>0.884265220826725</v>
      </c>
      <c r="F6" s="26" t="n">
        <f aca="false">'Resistor Network'!AD6</f>
        <v>0.89348232662648</v>
      </c>
      <c r="G6" s="35"/>
      <c r="H6" s="35"/>
      <c r="J6" s="0" t="n">
        <f aca="false">ROUND(D6*2^$K$2,0)</f>
        <v>29129</v>
      </c>
      <c r="K6" s="0" t="n">
        <f aca="false">ROUND(E6*2^$K$2,0)</f>
        <v>28976</v>
      </c>
      <c r="L6" s="0" t="n">
        <f aca="false">ROUND(F6*2^$K$2,0)</f>
        <v>29278</v>
      </c>
      <c r="N6" s="48" t="n">
        <f aca="false">J6/2^15</f>
        <v>0.888946533203125</v>
      </c>
      <c r="O6" s="48" t="n">
        <f aca="false">K6/2^15</f>
        <v>0.88427734375</v>
      </c>
      <c r="P6" s="48" t="n">
        <f aca="false">L6/2^15</f>
        <v>0.89349365234375</v>
      </c>
      <c r="Q6" s="48"/>
      <c r="R6" s="48" t="n">
        <f aca="false">N6/($R$42*N6^4+$R$43*N6^3+$R$44*N6^2+$R$45*N6+$R$46)*2^14</f>
        <v>0.843763013889547</v>
      </c>
      <c r="S6" s="48" t="n">
        <f aca="false">O6/($R$42*O6^4+$R$43*O6^3+$R$44*O6^2+$R$45*O6+$R$46)*2^14</f>
        <v>0.841068753522943</v>
      </c>
      <c r="T6" s="48" t="n">
        <f aca="false">P6/($R$42*P6^4+$R$43*P6^3+$R$44*P6^2+$R$45*P6+$R$46)*2^14</f>
        <v>0.846429734296335</v>
      </c>
      <c r="V6" s="48" t="n">
        <f aca="false">R6</f>
        <v>0.843763013889547</v>
      </c>
      <c r="W6" s="48" t="n">
        <f aca="false">S6</f>
        <v>0.841068753522943</v>
      </c>
      <c r="X6" s="48" t="n">
        <f aca="false">T6</f>
        <v>0.846429734296335</v>
      </c>
      <c r="Z6" s="0" t="n">
        <f aca="false">$Z$43*V6^3+$Z$44*V6^2+$Z$45*V6+$Z$46</f>
        <v>2381.59688826448</v>
      </c>
      <c r="AA6" s="0" t="n">
        <f aca="false">$Z$43*W6^3+$Z$44*W6^2+$Z$45*W6+$Z$46</f>
        <v>2389.83054544448</v>
      </c>
      <c r="AB6" s="0" t="n">
        <f aca="false">$Z$43*X6^3+$Z$44*X6^2+$Z$45*X6+$Z$46</f>
        <v>2373.44779794522</v>
      </c>
      <c r="AC6" s="48"/>
      <c r="AD6" s="49" t="n">
        <f aca="false">ROUND(Z6/10-273.15,1)</f>
        <v>-35</v>
      </c>
      <c r="AE6" s="49" t="n">
        <f aca="false">ROUND(AA6/10-273.15,1)</f>
        <v>-34.2</v>
      </c>
      <c r="AF6" s="49" t="n">
        <f aca="false">ROUND(AB6/10-273.15,1)</f>
        <v>-35.8</v>
      </c>
      <c r="AG6" s="50"/>
      <c r="AH6" s="49" t="n">
        <f aca="false">AD6-$C6</f>
        <v>0</v>
      </c>
      <c r="AI6" s="49" t="n">
        <f aca="false">AE6-$C6</f>
        <v>0.799999999999997</v>
      </c>
      <c r="AJ6" s="49" t="n">
        <f aca="false">AF6-$C6</f>
        <v>-0.799999999999997</v>
      </c>
      <c r="AK6" s="48" t="n">
        <f aca="false">MINA(AI6:AJ6)</f>
        <v>-0.799999999999997</v>
      </c>
      <c r="AL6" s="48" t="n">
        <f aca="false">MAX(AI6:AJ6)</f>
        <v>0.799999999999997</v>
      </c>
      <c r="AN6" s="48" t="n">
        <f aca="false">AD6-($AD$18-$B$5)</f>
        <v>-34.9</v>
      </c>
      <c r="AO6" s="48" t="n">
        <f aca="false">AE6-($AE$18-$B$5)</f>
        <v>-34.7</v>
      </c>
      <c r="AP6" s="48" t="n">
        <f aca="false">AF6-($AF$18-$B$5)</f>
        <v>-35.2</v>
      </c>
      <c r="AQ6" s="48"/>
      <c r="AR6" s="49" t="n">
        <f aca="false">AN6-$C6</f>
        <v>0.100000000000001</v>
      </c>
      <c r="AS6" s="49" t="n">
        <f aca="false">AO6-$C6</f>
        <v>0.299999999999997</v>
      </c>
      <c r="AT6" s="49" t="n">
        <f aca="false">AP6-$C6</f>
        <v>-0.199999999999996</v>
      </c>
      <c r="AU6" s="48" t="n">
        <f aca="false">MINA(AS6:AT6)</f>
        <v>-0.199999999999996</v>
      </c>
      <c r="AV6" s="48" t="n">
        <f aca="false">MAX(AS6:AT6)</f>
        <v>0.299999999999997</v>
      </c>
      <c r="AW6" s="48"/>
      <c r="AX6" s="48"/>
    </row>
    <row r="7" customFormat="false" ht="12.75" hidden="false" customHeight="false" outlineLevel="0" collapsed="false">
      <c r="C7" s="26" t="n">
        <f aca="false">Accuracy!F6</f>
        <v>-30</v>
      </c>
      <c r="D7" s="26" t="n">
        <f aca="false">'Resistor Network'!AB7</f>
        <v>0.860788863109049</v>
      </c>
      <c r="E7" s="26" t="n">
        <f aca="false">'Resistor Network'!AC7</f>
        <v>0.855420099337533</v>
      </c>
      <c r="F7" s="26" t="n">
        <f aca="false">'Resistor Network'!AD7</f>
        <v>0.865989497685614</v>
      </c>
      <c r="G7" s="35"/>
      <c r="H7" s="35"/>
      <c r="J7" s="0" t="n">
        <f aca="false">ROUND(D7*2^$K$2,0)</f>
        <v>28206</v>
      </c>
      <c r="K7" s="0" t="n">
        <f aca="false">ROUND(E7*2^$K$2,0)</f>
        <v>28030</v>
      </c>
      <c r="L7" s="0" t="n">
        <f aca="false">ROUND(F7*2^$K$2,0)</f>
        <v>28377</v>
      </c>
      <c r="N7" s="48" t="n">
        <f aca="false">J7/2^15</f>
        <v>0.86077880859375</v>
      </c>
      <c r="O7" s="48" t="n">
        <f aca="false">K7/2^15</f>
        <v>0.85540771484375</v>
      </c>
      <c r="P7" s="48" t="n">
        <f aca="false">L7/2^15</f>
        <v>0.865997314453125</v>
      </c>
      <c r="Q7" s="48"/>
      <c r="R7" s="48" t="n">
        <f aca="false">N7/($R$42*N7^4+$R$43*N7^3+$R$44*N7^2+$R$45*N7+$R$46)*2^14</f>
        <v>0.828147778702494</v>
      </c>
      <c r="S7" s="48" t="n">
        <f aca="false">O7/($R$42*O7^4+$R$43*O7^3+$R$44*O7^2+$R$45*O7+$R$46)*2^14</f>
        <v>0.825335006619051</v>
      </c>
      <c r="T7" s="48" t="n">
        <f aca="false">P7/($R$42*P7^4+$R$43*P7^3+$R$44*P7^2+$R$45*P7+$R$46)*2^14</f>
        <v>0.830929058933546</v>
      </c>
      <c r="V7" s="48" t="n">
        <f aca="false">R7</f>
        <v>0.828147778702494</v>
      </c>
      <c r="W7" s="48" t="n">
        <f aca="false">S7</f>
        <v>0.825335006619051</v>
      </c>
      <c r="X7" s="48" t="n">
        <f aca="false">T7</f>
        <v>0.830929058933546</v>
      </c>
      <c r="Z7" s="0" t="n">
        <f aca="false">$Z$43*V7^3+$Z$44*V7^2+$Z$45*V7+$Z$46</f>
        <v>2429.3225901243</v>
      </c>
      <c r="AA7" s="0" t="n">
        <f aca="false">$Z$43*W7^3+$Z$44*W7^2+$Z$45*W7+$Z$46</f>
        <v>2437.92081361113</v>
      </c>
      <c r="AB7" s="0" t="n">
        <f aca="false">$Z$43*X7^3+$Z$44*X7^2+$Z$45*X7+$Z$46</f>
        <v>2420.82104241591</v>
      </c>
      <c r="AC7" s="48"/>
      <c r="AD7" s="49" t="n">
        <f aca="false">ROUND(Z7/10-273.15,1)</f>
        <v>-30.2</v>
      </c>
      <c r="AE7" s="49" t="n">
        <f aca="false">ROUND(AA7/10-273.15,1)</f>
        <v>-29.4</v>
      </c>
      <c r="AF7" s="49" t="n">
        <f aca="false">ROUND(AB7/10-273.15,1)</f>
        <v>-31.1</v>
      </c>
      <c r="AG7" s="50"/>
      <c r="AH7" s="49" t="n">
        <f aca="false">AD7-$C7</f>
        <v>-0.199999999999999</v>
      </c>
      <c r="AI7" s="49" t="n">
        <f aca="false">AE7-$C7</f>
        <v>0.600000000000001</v>
      </c>
      <c r="AJ7" s="49" t="n">
        <f aca="false">AF7-$C7</f>
        <v>-1.1</v>
      </c>
      <c r="AK7" s="48" t="n">
        <f aca="false">MINA(AI7:AJ7)</f>
        <v>-1.1</v>
      </c>
      <c r="AL7" s="48" t="n">
        <f aca="false">MAX(AI7:AJ7)</f>
        <v>0.600000000000001</v>
      </c>
      <c r="AN7" s="48" t="n">
        <f aca="false">AD7-($AD$18-$B$5)</f>
        <v>-30.1</v>
      </c>
      <c r="AO7" s="48" t="n">
        <f aca="false">AE7-($AE$18-$B$5)</f>
        <v>-29.9</v>
      </c>
      <c r="AP7" s="48" t="n">
        <f aca="false">AF7-($AF$18-$B$5)</f>
        <v>-30.5</v>
      </c>
      <c r="AQ7" s="48"/>
      <c r="AR7" s="49" t="n">
        <f aca="false">AN7-$C7</f>
        <v>-0.0999999999999979</v>
      </c>
      <c r="AS7" s="49" t="n">
        <f aca="false">AO7-$C7</f>
        <v>0.100000000000001</v>
      </c>
      <c r="AT7" s="49" t="n">
        <f aca="false">AP7-$C7</f>
        <v>-0.5</v>
      </c>
      <c r="AU7" s="48" t="n">
        <f aca="false">MINA(AS7:AT7)</f>
        <v>-0.5</v>
      </c>
      <c r="AV7" s="48" t="n">
        <f aca="false">MAX(AS7:AT7)</f>
        <v>0.100000000000001</v>
      </c>
      <c r="AW7" s="48"/>
      <c r="AX7" s="48"/>
    </row>
    <row r="8" customFormat="false" ht="12.75" hidden="false" customHeight="false" outlineLevel="0" collapsed="false">
      <c r="C8" s="26" t="n">
        <f aca="false">Accuracy!F7</f>
        <v>-25</v>
      </c>
      <c r="D8" s="26" t="n">
        <f aca="false">'Resistor Network'!AB8</f>
        <v>0.827635736857225</v>
      </c>
      <c r="E8" s="26" t="n">
        <f aca="false">'Resistor Network'!AC8</f>
        <v>0.821624839508976</v>
      </c>
      <c r="F8" s="26" t="n">
        <f aca="false">'Resistor Network'!AD8</f>
        <v>0.833485129606528</v>
      </c>
      <c r="G8" s="35"/>
      <c r="H8" s="35"/>
      <c r="J8" s="0" t="n">
        <f aca="false">ROUND(D8*2^$K$2,0)</f>
        <v>27120</v>
      </c>
      <c r="K8" s="0" t="n">
        <f aca="false">ROUND(E8*2^$K$2,0)</f>
        <v>26923</v>
      </c>
      <c r="L8" s="0" t="n">
        <f aca="false">ROUND(F8*2^$K$2,0)</f>
        <v>27312</v>
      </c>
      <c r="N8" s="48" t="n">
        <f aca="false">J8/2^15</f>
        <v>0.82763671875</v>
      </c>
      <c r="O8" s="48" t="n">
        <f aca="false">K8/2^15</f>
        <v>0.821624755859375</v>
      </c>
      <c r="P8" s="48" t="n">
        <f aca="false">L8/2^15</f>
        <v>0.83349609375</v>
      </c>
      <c r="Q8" s="48"/>
      <c r="R8" s="48" t="n">
        <f aca="false">N8/($R$42*N8^4+$R$43*N8^3+$R$44*N8^2+$R$45*N8+$R$46)*2^14</f>
        <v>0.81154299484274</v>
      </c>
      <c r="S8" s="48" t="n">
        <f aca="false">O8/($R$42*O8^4+$R$43*O8^3+$R$44*O8^2+$R$45*O8+$R$46)*2^14</f>
        <v>0.808711269105119</v>
      </c>
      <c r="T8" s="48" t="n">
        <f aca="false">P8/($R$42*P8^4+$R$43*P8^3+$R$44*P8^2+$R$45*P8+$R$46)*2^14</f>
        <v>0.814353412482803</v>
      </c>
      <c r="V8" s="48" t="n">
        <f aca="false">R8</f>
        <v>0.81154299484274</v>
      </c>
      <c r="W8" s="48" t="n">
        <f aca="false">S8</f>
        <v>0.808711269105119</v>
      </c>
      <c r="X8" s="48" t="n">
        <f aca="false">T8</f>
        <v>0.814353412482803</v>
      </c>
      <c r="Z8" s="0" t="n">
        <f aca="false">$Z$43*V8^3+$Z$44*V8^2+$Z$45*V8+$Z$46</f>
        <v>2480.08677737625</v>
      </c>
      <c r="AA8" s="0" t="n">
        <f aca="false">$Z$43*W8^3+$Z$44*W8^2+$Z$45*W8+$Z$46</f>
        <v>2488.7453032438</v>
      </c>
      <c r="AB8" s="0" t="n">
        <f aca="false">$Z$43*X8^3+$Z$44*X8^2+$Z$45*X8+$Z$46</f>
        <v>2471.4937895459</v>
      </c>
      <c r="AC8" s="48"/>
      <c r="AD8" s="49" t="n">
        <f aca="false">ROUND(Z8/10-273.15,1)</f>
        <v>-25.1</v>
      </c>
      <c r="AE8" s="49" t="n">
        <f aca="false">ROUND(AA8/10-273.15,1)</f>
        <v>-24.3</v>
      </c>
      <c r="AF8" s="49" t="n">
        <f aca="false">ROUND(AB8/10-273.15,1)</f>
        <v>-26</v>
      </c>
      <c r="AG8" s="50"/>
      <c r="AH8" s="49" t="n">
        <f aca="false">AD8-$C8</f>
        <v>-0.100000000000001</v>
      </c>
      <c r="AI8" s="49" t="n">
        <f aca="false">AE8-$C8</f>
        <v>0.699999999999999</v>
      </c>
      <c r="AJ8" s="49" t="n">
        <f aca="false">AF8-$C8</f>
        <v>-1</v>
      </c>
      <c r="AK8" s="48" t="n">
        <f aca="false">MINA(AI8:AJ8)</f>
        <v>-1</v>
      </c>
      <c r="AL8" s="48" t="n">
        <f aca="false">MAX(AI8:AJ8)</f>
        <v>0.699999999999999</v>
      </c>
      <c r="AN8" s="48" t="n">
        <f aca="false">AD8-($AD$18-$B$5)</f>
        <v>-25</v>
      </c>
      <c r="AO8" s="48" t="n">
        <f aca="false">AE8-($AE$18-$B$5)</f>
        <v>-24.8</v>
      </c>
      <c r="AP8" s="48" t="n">
        <f aca="false">AF8-($AF$18-$B$5)</f>
        <v>-25.4</v>
      </c>
      <c r="AQ8" s="48"/>
      <c r="AR8" s="49" t="n">
        <f aca="false">AN8-$C8</f>
        <v>0</v>
      </c>
      <c r="AS8" s="49" t="n">
        <f aca="false">AO8-$C8</f>
        <v>0.199999999999999</v>
      </c>
      <c r="AT8" s="49" t="n">
        <f aca="false">AP8-$C8</f>
        <v>-0.399999999999999</v>
      </c>
      <c r="AU8" s="48" t="n">
        <f aca="false">MINA(AS8:AT8)</f>
        <v>-0.399999999999999</v>
      </c>
      <c r="AV8" s="48" t="n">
        <f aca="false">MAX(AS8:AT8)</f>
        <v>0.199999999999999</v>
      </c>
      <c r="AW8" s="48"/>
      <c r="AX8" s="48"/>
    </row>
    <row r="9" customFormat="false" ht="12.75" hidden="false" customHeight="false" outlineLevel="0" collapsed="false">
      <c r="C9" s="26" t="n">
        <f aca="false">Accuracy!F8</f>
        <v>-20</v>
      </c>
      <c r="D9" s="26" t="n">
        <f aca="false">'Resistor Network'!AB9</f>
        <v>0.790136411332634</v>
      </c>
      <c r="E9" s="26" t="n">
        <f aca="false">'Resistor Network'!AC9</f>
        <v>0.783573157426615</v>
      </c>
      <c r="F9" s="26" t="n">
        <f aca="false">'Resistor Network'!AD9</f>
        <v>0.796552308612999</v>
      </c>
      <c r="G9" s="35"/>
      <c r="H9" s="35"/>
      <c r="J9" s="0" t="n">
        <f aca="false">ROUND(D9*2^$K$2,0)</f>
        <v>25891</v>
      </c>
      <c r="K9" s="0" t="n">
        <f aca="false">ROUND(E9*2^$K$2,0)</f>
        <v>25676</v>
      </c>
      <c r="L9" s="0" t="n">
        <f aca="false">ROUND(F9*2^$K$2,0)</f>
        <v>26101</v>
      </c>
      <c r="N9" s="48" t="n">
        <f aca="false">J9/2^15</f>
        <v>0.790130615234375</v>
      </c>
      <c r="O9" s="48" t="n">
        <f aca="false">K9/2^15</f>
        <v>0.7835693359375</v>
      </c>
      <c r="P9" s="48" t="n">
        <f aca="false">L9/2^15</f>
        <v>0.796539306640625</v>
      </c>
      <c r="Q9" s="48"/>
      <c r="R9" s="48" t="n">
        <f aca="false">N9/($R$42*N9^4+$R$43*N9^3+$R$44*N9^2+$R$45*N9+$R$46)*2^14</f>
        <v>0.794667404835104</v>
      </c>
      <c r="S9" s="48" t="n">
        <f aca="false">O9/($R$42*O9^4+$R$43*O9^3+$R$44*O9^2+$R$45*O9+$R$46)*2^14</f>
        <v>0.791894757185662</v>
      </c>
      <c r="T9" s="48" t="n">
        <f aca="false">P9/($R$42*P9^4+$R$43*P9^3+$R$44*P9^2+$R$45*P9+$R$46)*2^14</f>
        <v>0.797424005722849</v>
      </c>
      <c r="V9" s="48" t="n">
        <f aca="false">R9</f>
        <v>0.794667404835104</v>
      </c>
      <c r="W9" s="48" t="n">
        <f aca="false">S9</f>
        <v>0.791894757185662</v>
      </c>
      <c r="X9" s="48" t="n">
        <f aca="false">T9</f>
        <v>0.797424005722849</v>
      </c>
      <c r="Z9" s="0" t="n">
        <f aca="false">$Z$43*V9^3+$Z$44*V9^2+$Z$45*V9+$Z$46</f>
        <v>2531.69257121439</v>
      </c>
      <c r="AA9" s="0" t="n">
        <f aca="false">$Z$43*W9^3+$Z$44*W9^2+$Z$45*W9+$Z$46</f>
        <v>2540.17260484632</v>
      </c>
      <c r="AB9" s="0" t="n">
        <f aca="false">$Z$43*X9^3+$Z$44*X9^2+$Z$45*X9+$Z$46</f>
        <v>2523.2619532357</v>
      </c>
      <c r="AC9" s="48"/>
      <c r="AD9" s="49" t="n">
        <f aca="false">ROUND(Z9/10-273.15,1)</f>
        <v>-20</v>
      </c>
      <c r="AE9" s="49" t="n">
        <f aca="false">ROUND(AA9/10-273.15,1)</f>
        <v>-19.1</v>
      </c>
      <c r="AF9" s="49" t="n">
        <f aca="false">ROUND(AB9/10-273.15,1)</f>
        <v>-20.8</v>
      </c>
      <c r="AG9" s="50"/>
      <c r="AH9" s="49" t="n">
        <f aca="false">AD9-$C9</f>
        <v>0</v>
      </c>
      <c r="AI9" s="49" t="n">
        <f aca="false">AE9-$C9</f>
        <v>0.899999999999999</v>
      </c>
      <c r="AJ9" s="49" t="n">
        <f aca="false">AF9-$C9</f>
        <v>-0.800000000000001</v>
      </c>
      <c r="AK9" s="48" t="n">
        <f aca="false">MINA(AI9:AJ9)</f>
        <v>-0.800000000000001</v>
      </c>
      <c r="AL9" s="48" t="n">
        <f aca="false">MAX(AI9:AJ9)</f>
        <v>0.899999999999999</v>
      </c>
      <c r="AN9" s="48" t="n">
        <f aca="false">AD9-($AD$18-$B$5)</f>
        <v>-19.9</v>
      </c>
      <c r="AO9" s="48" t="n">
        <f aca="false">AE9-($AE$18-$B$5)</f>
        <v>-19.6</v>
      </c>
      <c r="AP9" s="48" t="n">
        <f aca="false">AF9-($AF$18-$B$5)</f>
        <v>-20.2</v>
      </c>
      <c r="AQ9" s="48"/>
      <c r="AR9" s="49" t="n">
        <f aca="false">AN9-$C9</f>
        <v>0.100000000000001</v>
      </c>
      <c r="AS9" s="49" t="n">
        <f aca="false">AO9-$C9</f>
        <v>0.399999999999999</v>
      </c>
      <c r="AT9" s="49" t="n">
        <f aca="false">AP9-$C9</f>
        <v>-0.199999999999999</v>
      </c>
      <c r="AU9" s="48" t="n">
        <f aca="false">MINA(AS9:AT9)</f>
        <v>-0.199999999999999</v>
      </c>
      <c r="AV9" s="48" t="n">
        <f aca="false">MAX(AS9:AT9)</f>
        <v>0.399999999999999</v>
      </c>
      <c r="AW9" s="48"/>
      <c r="AX9" s="48"/>
    </row>
    <row r="10" customFormat="false" ht="12.75" hidden="false" customHeight="false" outlineLevel="0" collapsed="false">
      <c r="C10" s="26" t="n">
        <f aca="false">Accuracy!F9</f>
        <v>-15</v>
      </c>
      <c r="D10" s="26" t="n">
        <f aca="false">'Resistor Network'!AB10</f>
        <v>0.74793446296037</v>
      </c>
      <c r="E10" s="26" t="n">
        <f aca="false">'Resistor Network'!AC10</f>
        <v>0.740942204607776</v>
      </c>
      <c r="F10" s="26" t="n">
        <f aca="false">'Resistor Network'!AD10</f>
        <v>0.754800448393711</v>
      </c>
      <c r="G10" s="35"/>
      <c r="H10" s="35"/>
      <c r="J10" s="0" t="n">
        <f aca="false">ROUND(D10*2^$K$2,0)</f>
        <v>24508</v>
      </c>
      <c r="K10" s="0" t="n">
        <f aca="false">ROUND(E10*2^$K$2,0)</f>
        <v>24279</v>
      </c>
      <c r="L10" s="0" t="n">
        <f aca="false">ROUND(F10*2^$K$2,0)</f>
        <v>24733</v>
      </c>
      <c r="N10" s="48" t="n">
        <f aca="false">J10/2^15</f>
        <v>0.7479248046875</v>
      </c>
      <c r="O10" s="48" t="n">
        <f aca="false">K10/2^15</f>
        <v>0.740936279296875</v>
      </c>
      <c r="P10" s="48" t="n">
        <f aca="false">L10/2^15</f>
        <v>0.754791259765625</v>
      </c>
      <c r="Q10" s="48"/>
      <c r="R10" s="48" t="n">
        <f aca="false">N10/($R$42*N10^4+$R$43*N10^3+$R$44*N10^2+$R$45*N10+$R$46)*2^14</f>
        <v>0.777625568160735</v>
      </c>
      <c r="S10" s="48" t="n">
        <f aca="false">O10/($R$42*O10^4+$R$43*O10^3+$R$44*O10^2+$R$45*O10+$R$46)*2^14</f>
        <v>0.774969219161075</v>
      </c>
      <c r="T10" s="48" t="n">
        <f aca="false">P10/($R$42*P10^4+$R$43*P10^3+$R$44*P10^2+$R$45*P10+$R$46)*2^14</f>
        <v>0.780277769814596</v>
      </c>
      <c r="V10" s="48" t="n">
        <f aca="false">R10</f>
        <v>0.777625568160735</v>
      </c>
      <c r="W10" s="48" t="n">
        <f aca="false">S10</f>
        <v>0.774969219161075</v>
      </c>
      <c r="X10" s="48" t="n">
        <f aca="false">T10</f>
        <v>0.780277769814596</v>
      </c>
      <c r="Z10" s="0" t="n">
        <f aca="false">$Z$43*V10^3+$Z$44*V10^2+$Z$45*V10+$Z$46</f>
        <v>2583.81953605894</v>
      </c>
      <c r="AA10" s="0" t="n">
        <f aca="false">$Z$43*W10^3+$Z$44*W10^2+$Z$45*W10+$Z$46</f>
        <v>2591.94575916515</v>
      </c>
      <c r="AB10" s="0" t="n">
        <f aca="false">$Z$43*X10^3+$Z$44*X10^2+$Z$45*X10+$Z$46</f>
        <v>2575.70628170295</v>
      </c>
      <c r="AC10" s="48"/>
      <c r="AD10" s="49" t="n">
        <f aca="false">ROUND(Z10/10-273.15,1)</f>
        <v>-14.8</v>
      </c>
      <c r="AE10" s="49" t="n">
        <f aca="false">ROUND(AA10/10-273.15,1)</f>
        <v>-14</v>
      </c>
      <c r="AF10" s="49" t="n">
        <f aca="false">ROUND(AB10/10-273.15,1)</f>
        <v>-15.6</v>
      </c>
      <c r="AG10" s="50"/>
      <c r="AH10" s="49" t="n">
        <f aca="false">AD10-$C10</f>
        <v>0.199999999999999</v>
      </c>
      <c r="AI10" s="49" t="n">
        <f aca="false">AE10-$C10</f>
        <v>1</v>
      </c>
      <c r="AJ10" s="49" t="n">
        <f aca="false">AF10-$C10</f>
        <v>-0.6</v>
      </c>
      <c r="AK10" s="48" t="n">
        <f aca="false">MINA(AI10:AJ10)</f>
        <v>-0.6</v>
      </c>
      <c r="AL10" s="48" t="n">
        <f aca="false">MAX(AI10:AJ10)</f>
        <v>1</v>
      </c>
      <c r="AN10" s="48" t="n">
        <f aca="false">AD10-($AD$18-$B$5)</f>
        <v>-14.7</v>
      </c>
      <c r="AO10" s="48" t="n">
        <f aca="false">AE10-($AE$18-$B$5)</f>
        <v>-14.5</v>
      </c>
      <c r="AP10" s="48" t="n">
        <f aca="false">AF10-($AF$18-$B$5)</f>
        <v>-15</v>
      </c>
      <c r="AQ10" s="48"/>
      <c r="AR10" s="49" t="n">
        <f aca="false">AN10-$C10</f>
        <v>0.300000000000001</v>
      </c>
      <c r="AS10" s="49" t="n">
        <f aca="false">AO10-$C10</f>
        <v>0.5</v>
      </c>
      <c r="AT10" s="49" t="n">
        <f aca="false">AP10-$C10</f>
        <v>0</v>
      </c>
      <c r="AU10" s="48" t="n">
        <f aca="false">MINA(AS10:AT10)</f>
        <v>0</v>
      </c>
      <c r="AV10" s="48" t="n">
        <f aca="false">MAX(AS10:AT10)</f>
        <v>0.5</v>
      </c>
      <c r="AW10" s="48"/>
      <c r="AX10" s="48"/>
    </row>
    <row r="11" customFormat="false" ht="12.75" hidden="false" customHeight="false" outlineLevel="0" collapsed="false">
      <c r="C11" s="26" t="n">
        <f aca="false">Accuracy!F10</f>
        <v>-10</v>
      </c>
      <c r="D11" s="26" t="n">
        <f aca="false">'Resistor Network'!AB11</f>
        <v>0.702331734744501</v>
      </c>
      <c r="E11" s="26" t="n">
        <f aca="false">'Resistor Network'!AC11</f>
        <v>0.695077009777471</v>
      </c>
      <c r="F11" s="26" t="n">
        <f aca="false">'Resistor Network'!AD11</f>
        <v>0.709485996980649</v>
      </c>
      <c r="G11" s="35"/>
      <c r="H11" s="35"/>
      <c r="J11" s="0" t="n">
        <f aca="false">ROUND(D11*2^$K$2,0)</f>
        <v>23014</v>
      </c>
      <c r="K11" s="0" t="n">
        <f aca="false">ROUND(E11*2^$K$2,0)</f>
        <v>22776</v>
      </c>
      <c r="L11" s="0" t="n">
        <f aca="false">ROUND(F11*2^$K$2,0)</f>
        <v>23248</v>
      </c>
      <c r="N11" s="48" t="n">
        <f aca="false">J11/2^15</f>
        <v>0.70233154296875</v>
      </c>
      <c r="O11" s="48" t="n">
        <f aca="false">K11/2^15</f>
        <v>0.695068359375</v>
      </c>
      <c r="P11" s="48" t="n">
        <f aca="false">L11/2^15</f>
        <v>0.70947265625</v>
      </c>
      <c r="Q11" s="48"/>
      <c r="R11" s="48" t="n">
        <f aca="false">N11/($R$42*N11^4+$R$43*N11^3+$R$44*N11^2+$R$45*N11+$R$46)*2^14</f>
        <v>0.760987100890474</v>
      </c>
      <c r="S11" s="48" t="n">
        <f aca="false">O11/($R$42*O11^4+$R$43*O11^3+$R$44*O11^2+$R$45*O11+$R$46)*2^14</f>
        <v>0.758470990321877</v>
      </c>
      <c r="T11" s="48" t="n">
        <f aca="false">P11/($R$42*P11^4+$R$43*P11^3+$R$44*P11^2+$R$45*P11+$R$46)*2^14</f>
        <v>0.76349335941442</v>
      </c>
      <c r="V11" s="48" t="n">
        <f aca="false">R11</f>
        <v>0.760987100890474</v>
      </c>
      <c r="W11" s="48" t="n">
        <f aca="false">S11</f>
        <v>0.758470990321877</v>
      </c>
      <c r="X11" s="48" t="n">
        <f aca="false">T11</f>
        <v>0.76349335941442</v>
      </c>
      <c r="Z11" s="0" t="n">
        <f aca="false">$Z$43*V11^3+$Z$44*V11^2+$Z$45*V11+$Z$46</f>
        <v>2634.72389541348</v>
      </c>
      <c r="AA11" s="0" t="n">
        <f aca="false">$Z$43*W11^3+$Z$44*W11^2+$Z$45*W11+$Z$46</f>
        <v>2642.422670273</v>
      </c>
      <c r="AB11" s="0" t="n">
        <f aca="false">$Z$43*X11^3+$Z$44*X11^2+$Z$45*X11+$Z$46</f>
        <v>2627.05549087263</v>
      </c>
      <c r="AC11" s="48"/>
      <c r="AD11" s="49" t="n">
        <f aca="false">ROUND(Z11/10-273.15,1)</f>
        <v>-9.7</v>
      </c>
      <c r="AE11" s="49" t="n">
        <f aca="false">ROUND(AA11/10-273.15,1)</f>
        <v>-8.9</v>
      </c>
      <c r="AF11" s="49" t="n">
        <f aca="false">ROUND(AB11/10-273.15,1)</f>
        <v>-10.4</v>
      </c>
      <c r="AG11" s="50"/>
      <c r="AH11" s="49" t="n">
        <f aca="false">AD11-$C11</f>
        <v>0.300000000000001</v>
      </c>
      <c r="AI11" s="49" t="n">
        <f aca="false">AE11-$C11</f>
        <v>1.1</v>
      </c>
      <c r="AJ11" s="49" t="n">
        <f aca="false">AF11-$C11</f>
        <v>-0.4</v>
      </c>
      <c r="AK11" s="48" t="n">
        <f aca="false">MINA(AI11:AJ11)</f>
        <v>-0.4</v>
      </c>
      <c r="AL11" s="48" t="n">
        <f aca="false">MAX(AI11:AJ11)</f>
        <v>1.1</v>
      </c>
      <c r="AN11" s="48" t="n">
        <f aca="false">AD11-($AD$18-$B$5)</f>
        <v>-9.6</v>
      </c>
      <c r="AO11" s="48" t="n">
        <f aca="false">AE11-($AE$18-$B$5)</f>
        <v>-9.4</v>
      </c>
      <c r="AP11" s="48" t="n">
        <f aca="false">AF11-($AF$18-$B$5)</f>
        <v>-9.8</v>
      </c>
      <c r="AQ11" s="48"/>
      <c r="AR11" s="49" t="n">
        <f aca="false">AN11-$C11</f>
        <v>0.400000000000002</v>
      </c>
      <c r="AS11" s="49" t="n">
        <f aca="false">AO11-$C11</f>
        <v>0.6</v>
      </c>
      <c r="AT11" s="49" t="n">
        <f aca="false">AP11-$C11</f>
        <v>0.200000000000001</v>
      </c>
      <c r="AU11" s="48" t="n">
        <f aca="false">MINA(AS11:AT11)</f>
        <v>0.200000000000001</v>
      </c>
      <c r="AV11" s="48" t="n">
        <f aca="false">MAX(AS11:AT11)</f>
        <v>0.6</v>
      </c>
      <c r="AW11" s="48"/>
      <c r="AX11" s="48"/>
    </row>
    <row r="12" customFormat="false" ht="12.75" hidden="false" customHeight="false" outlineLevel="0" collapsed="false">
      <c r="C12" s="26" t="n">
        <f aca="false">Accuracy!F11</f>
        <v>-5</v>
      </c>
      <c r="D12" s="26" t="n">
        <f aca="false">'Resistor Network'!AB12</f>
        <v>0.653179190751445</v>
      </c>
      <c r="E12" s="26" t="n">
        <f aca="false">'Resistor Network'!AC12</f>
        <v>0.645847155557072</v>
      </c>
      <c r="F12" s="26" t="n">
        <f aca="false">'Resistor Network'!AD12</f>
        <v>0.660439238576786</v>
      </c>
      <c r="G12" s="35"/>
      <c r="H12" s="35"/>
      <c r="J12" s="0" t="n">
        <f aca="false">ROUND(D12*2^$K$2,0)</f>
        <v>21403</v>
      </c>
      <c r="K12" s="0" t="n">
        <f aca="false">ROUND(E12*2^$K$2,0)</f>
        <v>21163</v>
      </c>
      <c r="L12" s="0" t="n">
        <f aca="false">ROUND(F12*2^$K$2,0)</f>
        <v>21641</v>
      </c>
      <c r="N12" s="48" t="n">
        <f aca="false">J12/2^15</f>
        <v>0.653167724609375</v>
      </c>
      <c r="O12" s="48" t="n">
        <f aca="false">K12/2^15</f>
        <v>0.645843505859375</v>
      </c>
      <c r="P12" s="48" t="n">
        <f aca="false">L12/2^15</f>
        <v>0.660430908203125</v>
      </c>
      <c r="Q12" s="48"/>
      <c r="R12" s="48" t="n">
        <f aca="false">N12/($R$42*N12^4+$R$43*N12^3+$R$44*N12^2+$R$45*N12+$R$46)*2^14</f>
        <v>0.744506980257618</v>
      </c>
      <c r="S12" s="48" t="n">
        <f aca="false">O12/($R$42*O12^4+$R$43*O12^3+$R$44*O12^2+$R$45*O12+$R$46)*2^14</f>
        <v>0.742145982454181</v>
      </c>
      <c r="T12" s="48" t="n">
        <f aca="false">P12/($R$42*P12^4+$R$43*P12^3+$R$44*P12^2+$R$45*P12+$R$46)*2^14</f>
        <v>0.74686887999962</v>
      </c>
      <c r="V12" s="48" t="n">
        <f aca="false">R12</f>
        <v>0.744506980257618</v>
      </c>
      <c r="W12" s="48" t="n">
        <f aca="false">S12</f>
        <v>0.742145982454181</v>
      </c>
      <c r="X12" s="48" t="n">
        <f aca="false">T12</f>
        <v>0.74686887999962</v>
      </c>
      <c r="Z12" s="0" t="n">
        <f aca="false">$Z$43*V12^3+$Z$44*V12^2+$Z$45*V12+$Z$46</f>
        <v>2685.15356793687</v>
      </c>
      <c r="AA12" s="0" t="n">
        <f aca="false">$Z$43*W12^3+$Z$44*W12^2+$Z$45*W12+$Z$46</f>
        <v>2692.37902290651</v>
      </c>
      <c r="AB12" s="0" t="n">
        <f aca="false">$Z$43*X12^3+$Z$44*X12^2+$Z$45*X12+$Z$46</f>
        <v>2677.92552906644</v>
      </c>
      <c r="AC12" s="48"/>
      <c r="AD12" s="49" t="n">
        <f aca="false">ROUND(Z12/10-273.15,1)</f>
        <v>-4.6</v>
      </c>
      <c r="AE12" s="49" t="n">
        <f aca="false">ROUND(AA12/10-273.15,1)</f>
        <v>-3.9</v>
      </c>
      <c r="AF12" s="49" t="n">
        <f aca="false">ROUND(AB12/10-273.15,1)</f>
        <v>-5.4</v>
      </c>
      <c r="AG12" s="50"/>
      <c r="AH12" s="49" t="n">
        <f aca="false">AD12-$C12</f>
        <v>0.4</v>
      </c>
      <c r="AI12" s="49" t="n">
        <f aca="false">AE12-$C12</f>
        <v>1.1</v>
      </c>
      <c r="AJ12" s="49" t="n">
        <f aca="false">AF12-$C12</f>
        <v>-0.4</v>
      </c>
      <c r="AK12" s="48" t="n">
        <f aca="false">MINA(AI12:AJ12)</f>
        <v>-0.4</v>
      </c>
      <c r="AL12" s="48" t="n">
        <f aca="false">MAX(AI12:AJ12)</f>
        <v>1.1</v>
      </c>
      <c r="AN12" s="48" t="n">
        <f aca="false">AD12-($AD$18-$B$5)</f>
        <v>-4.5</v>
      </c>
      <c r="AO12" s="48" t="n">
        <f aca="false">AE12-($AE$18-$B$5)</f>
        <v>-4.4</v>
      </c>
      <c r="AP12" s="48" t="n">
        <f aca="false">AF12-($AF$18-$B$5)</f>
        <v>-4.8</v>
      </c>
      <c r="AQ12" s="48"/>
      <c r="AR12" s="49" t="n">
        <f aca="false">AN12-$C12</f>
        <v>0.500000000000002</v>
      </c>
      <c r="AS12" s="49" t="n">
        <f aca="false">AO12-$C12</f>
        <v>0.6</v>
      </c>
      <c r="AT12" s="49" t="n">
        <f aca="false">AP12-$C12</f>
        <v>0.200000000000001</v>
      </c>
      <c r="AU12" s="48" t="n">
        <f aca="false">MINA(AS12:AT12)</f>
        <v>0.200000000000001</v>
      </c>
      <c r="AV12" s="48" t="n">
        <f aca="false">MAX(AS12:AT12)</f>
        <v>0.6</v>
      </c>
      <c r="AW12" s="48"/>
      <c r="AX12" s="48"/>
    </row>
    <row r="13" customFormat="false" ht="12.75" hidden="false" customHeight="false" outlineLevel="0" collapsed="false">
      <c r="C13" s="26" t="n">
        <f aca="false">Accuracy!F12</f>
        <v>0</v>
      </c>
      <c r="D13" s="26" t="n">
        <f aca="false">'Resistor Network'!AB13</f>
        <v>0.602473498233216</v>
      </c>
      <c r="E13" s="26" t="n">
        <f aca="false">'Resistor Network'!AC13</f>
        <v>0.595258150106459</v>
      </c>
      <c r="F13" s="26" t="n">
        <f aca="false">'Resistor Network'!AD13</f>
        <v>0.609644569293527</v>
      </c>
      <c r="G13" s="35"/>
      <c r="H13" s="35"/>
      <c r="J13" s="0" t="n">
        <f aca="false">ROUND(D13*2^$K$2,0)</f>
        <v>19742</v>
      </c>
      <c r="K13" s="0" t="n">
        <f aca="false">ROUND(E13*2^$K$2,0)</f>
        <v>19505</v>
      </c>
      <c r="L13" s="0" t="n">
        <f aca="false">ROUND(F13*2^$K$2,0)</f>
        <v>19977</v>
      </c>
      <c r="N13" s="48" t="n">
        <f aca="false">J13/2^15</f>
        <v>0.60247802734375</v>
      </c>
      <c r="O13" s="48" t="n">
        <f aca="false">K13/2^15</f>
        <v>0.595245361328125</v>
      </c>
      <c r="P13" s="48" t="n">
        <f aca="false">L13/2^15</f>
        <v>0.609649658203125</v>
      </c>
      <c r="Q13" s="48"/>
      <c r="R13" s="48" t="n">
        <f aca="false">N13/($R$42*N13^4+$R$43*N13^3+$R$44*N13^2+$R$45*N13+$R$46)*2^14</f>
        <v>0.728498229844582</v>
      </c>
      <c r="S13" s="48" t="n">
        <f aca="false">O13/($R$42*O13^4+$R$43*O13^3+$R$44*O13^2+$R$45*O13+$R$46)*2^14</f>
        <v>0.726261792553022</v>
      </c>
      <c r="T13" s="48" t="n">
        <f aca="false">P13/($R$42*P13^4+$R$43*P13^3+$R$44*P13^2+$R$45*P13+$R$46)*2^14</f>
        <v>0.73072437311219</v>
      </c>
      <c r="V13" s="48" t="n">
        <f aca="false">R13</f>
        <v>0.728498229844582</v>
      </c>
      <c r="W13" s="48" t="n">
        <f aca="false">S13</f>
        <v>0.726261792553022</v>
      </c>
      <c r="X13" s="48" t="n">
        <f aca="false">T13</f>
        <v>0.73072437311219</v>
      </c>
      <c r="Z13" s="0" t="n">
        <f aca="false">$Z$43*V13^3+$Z$44*V13^2+$Z$45*V13+$Z$46</f>
        <v>2734.14906526297</v>
      </c>
      <c r="AA13" s="0" t="n">
        <f aca="false">$Z$43*W13^3+$Z$44*W13^2+$Z$45*W13+$Z$46</f>
        <v>2740.99436804017</v>
      </c>
      <c r="AB13" s="0" t="n">
        <f aca="false">$Z$43*X13^3+$Z$44*X13^2+$Z$45*X13+$Z$46</f>
        <v>2727.33540750371</v>
      </c>
      <c r="AC13" s="48"/>
      <c r="AD13" s="49" t="n">
        <f aca="false">ROUND(Z13/10-273.15,1)</f>
        <v>0.3</v>
      </c>
      <c r="AE13" s="49" t="n">
        <f aca="false">ROUND(AA13/10-273.15,1)</f>
        <v>0.9</v>
      </c>
      <c r="AF13" s="49" t="n">
        <f aca="false">ROUND(AB13/10-273.15,1)</f>
        <v>-0.4</v>
      </c>
      <c r="AG13" s="50"/>
      <c r="AH13" s="49" t="n">
        <f aca="false">AD13-$C13</f>
        <v>0.3</v>
      </c>
      <c r="AI13" s="49" t="n">
        <f aca="false">AE13-$C13</f>
        <v>0.9</v>
      </c>
      <c r="AJ13" s="49" t="n">
        <f aca="false">AF13-$C13</f>
        <v>-0.4</v>
      </c>
      <c r="AK13" s="48" t="n">
        <f aca="false">MINA(AI13:AJ13)</f>
        <v>-0.4</v>
      </c>
      <c r="AL13" s="48" t="n">
        <f aca="false">MAX(AI13:AJ13)</f>
        <v>0.9</v>
      </c>
      <c r="AN13" s="48" t="n">
        <f aca="false">AD13-($AD$18-$B$5)</f>
        <v>0.400000000000001</v>
      </c>
      <c r="AO13" s="48" t="n">
        <f aca="false">AE13-($AE$18-$B$5)</f>
        <v>0.4</v>
      </c>
      <c r="AP13" s="48" t="n">
        <f aca="false">AF13-($AF$18-$B$5)</f>
        <v>0.200000000000001</v>
      </c>
      <c r="AQ13" s="48"/>
      <c r="AR13" s="49" t="n">
        <f aca="false">AN13-$C13</f>
        <v>0.400000000000001</v>
      </c>
      <c r="AS13" s="49" t="n">
        <f aca="false">AO13-$C13</f>
        <v>0.4</v>
      </c>
      <c r="AT13" s="49" t="n">
        <f aca="false">AP13-$C13</f>
        <v>0.200000000000001</v>
      </c>
      <c r="AU13" s="48" t="n">
        <f aca="false">MINA(AS13:AT13)</f>
        <v>0.200000000000001</v>
      </c>
      <c r="AV13" s="48" t="n">
        <f aca="false">MAX(AS13:AT13)</f>
        <v>0.4</v>
      </c>
      <c r="AW13" s="48"/>
      <c r="AX13" s="48"/>
    </row>
    <row r="14" customFormat="false" ht="12.75" hidden="false" customHeight="false" outlineLevel="0" collapsed="false">
      <c r="C14" s="26" t="n">
        <f aca="false">Accuracy!F13</f>
        <v>5</v>
      </c>
      <c r="D14" s="26" t="n">
        <f aca="false">'Resistor Network'!AB14</f>
        <v>0.550561797752809</v>
      </c>
      <c r="E14" s="26" t="n">
        <f aca="false">'Resistor Network'!AC14</f>
        <v>0.543646850118802</v>
      </c>
      <c r="F14" s="26" t="n">
        <f aca="false">'Resistor Network'!AD14</f>
        <v>0.557457259118876</v>
      </c>
      <c r="G14" s="35"/>
      <c r="H14" s="35"/>
      <c r="J14" s="0" t="n">
        <f aca="false">ROUND(D14*2^$K$2,0)</f>
        <v>18041</v>
      </c>
      <c r="K14" s="0" t="n">
        <f aca="false">ROUND(E14*2^$K$2,0)</f>
        <v>17814</v>
      </c>
      <c r="L14" s="0" t="n">
        <f aca="false">ROUND(F14*2^$K$2,0)</f>
        <v>18267</v>
      </c>
      <c r="N14" s="48" t="n">
        <f aca="false">J14/2^15</f>
        <v>0.550567626953125</v>
      </c>
      <c r="O14" s="48" t="n">
        <f aca="false">K14/2^15</f>
        <v>0.54364013671875</v>
      </c>
      <c r="P14" s="48" t="n">
        <f aca="false">L14/2^15</f>
        <v>0.557464599609375</v>
      </c>
      <c r="Q14" s="48"/>
      <c r="R14" s="48" t="n">
        <f aca="false">N14/($R$42*N14^4+$R$43*N14^3+$R$44*N14^2+$R$45*N14+$R$46)*2^14</f>
        <v>0.712546235905916</v>
      </c>
      <c r="S14" s="48" t="n">
        <f aca="false">O14/($R$42*O14^4+$R$43*O14^3+$R$44*O14^2+$R$45*O14+$R$46)*2^14</f>
        <v>0.710420946569333</v>
      </c>
      <c r="T14" s="48" t="n">
        <f aca="false">P14/($R$42*P14^4+$R$43*P14^3+$R$44*P14^2+$R$45*P14+$R$46)*2^14</f>
        <v>0.71466017721868</v>
      </c>
      <c r="V14" s="48" t="n">
        <f aca="false">R14</f>
        <v>0.712546235905916</v>
      </c>
      <c r="W14" s="48" t="n">
        <f aca="false">S14</f>
        <v>0.710420946569333</v>
      </c>
      <c r="X14" s="48" t="n">
        <f aca="false">T14</f>
        <v>0.71466017721868</v>
      </c>
      <c r="Z14" s="0" t="n">
        <f aca="false">$Z$43*V14^3+$Z$44*V14^2+$Z$45*V14+$Z$46</f>
        <v>2782.97788913033</v>
      </c>
      <c r="AA14" s="0" t="n">
        <f aca="false">$Z$43*W14^3+$Z$44*W14^2+$Z$45*W14+$Z$46</f>
        <v>2789.48384412668</v>
      </c>
      <c r="AB14" s="0" t="n">
        <f aca="false">$Z$43*X14^3+$Z$44*X14^2+$Z$45*X14+$Z$46</f>
        <v>2776.50677837685</v>
      </c>
      <c r="AC14" s="48"/>
      <c r="AD14" s="49" t="n">
        <f aca="false">ROUND(Z14/10-273.15,1)</f>
        <v>5.1</v>
      </c>
      <c r="AE14" s="49" t="n">
        <f aca="false">ROUND(AA14/10-273.15,1)</f>
        <v>5.8</v>
      </c>
      <c r="AF14" s="49" t="n">
        <f aca="false">ROUND(AB14/10-273.15,1)</f>
        <v>4.5</v>
      </c>
      <c r="AG14" s="50"/>
      <c r="AH14" s="49" t="n">
        <f aca="false">AD14-$C14</f>
        <v>0.0999999999999996</v>
      </c>
      <c r="AI14" s="49" t="n">
        <f aca="false">AE14-$C14</f>
        <v>0.8</v>
      </c>
      <c r="AJ14" s="49" t="n">
        <f aca="false">AF14-$C14</f>
        <v>-0.5</v>
      </c>
      <c r="AK14" s="48" t="n">
        <f aca="false">MINA(AI14:AJ14)</f>
        <v>-0.5</v>
      </c>
      <c r="AL14" s="48" t="n">
        <f aca="false">MAX(AI14:AJ14)</f>
        <v>0.8</v>
      </c>
      <c r="AN14" s="48" t="n">
        <f aca="false">AD14-($AD$18-$B$5)</f>
        <v>5.2</v>
      </c>
      <c r="AO14" s="48" t="n">
        <f aca="false">AE14-($AE$18-$B$5)</f>
        <v>5.3</v>
      </c>
      <c r="AP14" s="48" t="n">
        <f aca="false">AF14-($AF$18-$B$5)</f>
        <v>5.1</v>
      </c>
      <c r="AQ14" s="48"/>
      <c r="AR14" s="49" t="n">
        <f aca="false">AN14-$C14</f>
        <v>0.200000000000001</v>
      </c>
      <c r="AS14" s="49" t="n">
        <f aca="false">AO14-$C14</f>
        <v>0.3</v>
      </c>
      <c r="AT14" s="49" t="n">
        <f aca="false">AP14-$C14</f>
        <v>0.100000000000001</v>
      </c>
      <c r="AU14" s="48" t="n">
        <f aca="false">MINA(AS14:AT14)</f>
        <v>0.100000000000001</v>
      </c>
      <c r="AV14" s="48" t="n">
        <f aca="false">MAX(AS14:AT14)</f>
        <v>0.3</v>
      </c>
      <c r="AW14" s="48"/>
      <c r="AX14" s="48"/>
    </row>
    <row r="15" customFormat="false" ht="12.75" hidden="false" customHeight="false" outlineLevel="0" collapsed="false">
      <c r="C15" s="26" t="n">
        <f aca="false">Accuracy!F14</f>
        <v>10</v>
      </c>
      <c r="D15" s="26" t="n">
        <f aca="false">'Resistor Network'!AB15</f>
        <v>0.49944382647386</v>
      </c>
      <c r="E15" s="26" t="n">
        <f aca="false">'Resistor Network'!AC15</f>
        <v>0.492980215919642</v>
      </c>
      <c r="F15" s="26" t="n">
        <f aca="false">'Resistor Network'!AD15</f>
        <v>0.505907622921357</v>
      </c>
      <c r="G15" s="35"/>
      <c r="H15" s="35"/>
      <c r="J15" s="0" t="n">
        <f aca="false">ROUND(D15*2^$K$2,0)</f>
        <v>16366</v>
      </c>
      <c r="K15" s="0" t="n">
        <f aca="false">ROUND(E15*2^$K$2,0)</f>
        <v>16154</v>
      </c>
      <c r="L15" s="0" t="n">
        <f aca="false">ROUND(F15*2^$K$2,0)</f>
        <v>16578</v>
      </c>
      <c r="N15" s="48" t="n">
        <f aca="false">J15/2^15</f>
        <v>0.49945068359375</v>
      </c>
      <c r="O15" s="48" t="n">
        <f aca="false">K15/2^15</f>
        <v>0.49298095703125</v>
      </c>
      <c r="P15" s="48" t="n">
        <f aca="false">L15/2^15</f>
        <v>0.50592041015625</v>
      </c>
      <c r="Q15" s="48"/>
      <c r="R15" s="48" t="n">
        <f aca="false">N15/($R$42*N15^4+$R$43*N15^3+$R$44*N15^2+$R$45*N15+$R$46)*2^14</f>
        <v>0.696733767009248</v>
      </c>
      <c r="S15" s="48" t="n">
        <f aca="false">O15/($R$42*O15^4+$R$43*O15^3+$R$44*O15^2+$R$45*O15+$R$46)*2^14</f>
        <v>0.694699114890464</v>
      </c>
      <c r="T15" s="48" t="n">
        <f aca="false">P15/($R$42*P15^4+$R$43*P15^3+$R$44*P15^2+$R$45*P15+$R$46)*2^14</f>
        <v>0.698758606680277</v>
      </c>
      <c r="V15" s="48" t="n">
        <f aca="false">R15</f>
        <v>0.696733767009248</v>
      </c>
      <c r="W15" s="48" t="n">
        <f aca="false">S15</f>
        <v>0.694699114890464</v>
      </c>
      <c r="X15" s="48" t="n">
        <f aca="false">T15</f>
        <v>0.698758606680277</v>
      </c>
      <c r="Z15" s="0" t="n">
        <f aca="false">$Z$43*V15^3+$Z$44*V15^2+$Z$45*V15+$Z$46</f>
        <v>2831.38554900481</v>
      </c>
      <c r="AA15" s="0" t="n">
        <f aca="false">$Z$43*W15^3+$Z$44*W15^2+$Z$45*W15+$Z$46</f>
        <v>2837.61472808518</v>
      </c>
      <c r="AB15" s="0" t="n">
        <f aca="false">$Z$43*X15^3+$Z$44*X15^2+$Z$45*X15+$Z$46</f>
        <v>2825.18649163104</v>
      </c>
      <c r="AC15" s="48"/>
      <c r="AD15" s="49" t="n">
        <f aca="false">ROUND(Z15/10-273.15,1)</f>
        <v>10</v>
      </c>
      <c r="AE15" s="49" t="n">
        <f aca="false">ROUND(AA15/10-273.15,1)</f>
        <v>10.6</v>
      </c>
      <c r="AF15" s="49" t="n">
        <f aca="false">ROUND(AB15/10-273.15,1)</f>
        <v>9.4</v>
      </c>
      <c r="AG15" s="50"/>
      <c r="AH15" s="49" t="n">
        <f aca="false">AD15-$C15</f>
        <v>0</v>
      </c>
      <c r="AI15" s="49" t="n">
        <f aca="false">AE15-$C15</f>
        <v>0.6</v>
      </c>
      <c r="AJ15" s="49" t="n">
        <f aca="false">AF15-$C15</f>
        <v>-0.6</v>
      </c>
      <c r="AK15" s="48" t="n">
        <f aca="false">MINA(AI15:AJ15)</f>
        <v>-0.6</v>
      </c>
      <c r="AL15" s="48" t="n">
        <f aca="false">MAX(AI15:AJ15)</f>
        <v>0.6</v>
      </c>
      <c r="AN15" s="48" t="n">
        <f aca="false">AD15-($AD$18-$B$5)</f>
        <v>10.1</v>
      </c>
      <c r="AO15" s="48" t="n">
        <f aca="false">AE15-($AE$18-$B$5)</f>
        <v>10.1</v>
      </c>
      <c r="AP15" s="48" t="n">
        <f aca="false">AF15-($AF$18-$B$5)</f>
        <v>10</v>
      </c>
      <c r="AQ15" s="48"/>
      <c r="AR15" s="49" t="n">
        <f aca="false">AN15-$C15</f>
        <v>0.100000000000001</v>
      </c>
      <c r="AS15" s="49" t="n">
        <f aca="false">AO15-$C15</f>
        <v>0.0999999999999996</v>
      </c>
      <c r="AT15" s="49" t="n">
        <f aca="false">AP15-$C15</f>
        <v>0</v>
      </c>
      <c r="AU15" s="48" t="n">
        <f aca="false">MINA(AS15:AT15)</f>
        <v>0</v>
      </c>
      <c r="AV15" s="48" t="n">
        <f aca="false">MAX(AS15:AT15)</f>
        <v>0.0999999999999996</v>
      </c>
      <c r="AW15" s="48"/>
      <c r="AX15" s="48"/>
    </row>
    <row r="16" customFormat="false" ht="12.75" hidden="false" customHeight="false" outlineLevel="0" collapsed="false">
      <c r="C16" s="26" t="n">
        <f aca="false">Accuracy!F15</f>
        <v>15</v>
      </c>
      <c r="D16" s="26" t="n">
        <f aca="false">'Resistor Network'!AB16</f>
        <v>0.44937289691037</v>
      </c>
      <c r="E16" s="26" t="n">
        <f aca="false">'Resistor Network'!AC16</f>
        <v>0.44347979038331</v>
      </c>
      <c r="F16" s="26" t="n">
        <f aca="false">'Resistor Network'!AD16</f>
        <v>0.45528024920245</v>
      </c>
      <c r="G16" s="35"/>
      <c r="H16" s="35"/>
      <c r="J16" s="0" t="n">
        <f aca="false">ROUND(D16*2^$K$2,0)</f>
        <v>14725</v>
      </c>
      <c r="K16" s="0" t="n">
        <f aca="false">ROUND(E16*2^$K$2,0)</f>
        <v>14532</v>
      </c>
      <c r="L16" s="0" t="n">
        <f aca="false">ROUND(F16*2^$K$2,0)</f>
        <v>14919</v>
      </c>
      <c r="N16" s="48" t="n">
        <f aca="false">J16/2^15</f>
        <v>0.449371337890625</v>
      </c>
      <c r="O16" s="48" t="n">
        <f aca="false">K16/2^15</f>
        <v>0.4434814453125</v>
      </c>
      <c r="P16" s="48" t="n">
        <f aca="false">L16/2^15</f>
        <v>0.455291748046875</v>
      </c>
      <c r="Q16" s="48"/>
      <c r="R16" s="48" t="n">
        <f aca="false">N16/($R$42*N16^4+$R$43*N16^3+$R$44*N16^2+$R$45*N16+$R$46)*2^14</f>
        <v>0.680652121044758</v>
      </c>
      <c r="S16" s="48" t="n">
        <f aca="false">O16/($R$42*O16^4+$R$43*O16^3+$R$44*O16^2+$R$45*O16+$R$46)*2^14</f>
        <v>0.678700473512804</v>
      </c>
      <c r="T16" s="48" t="n">
        <f aca="false">P16/($R$42*P16^4+$R$43*P16^3+$R$44*P16^2+$R$45*P16+$R$46)*2^14</f>
        <v>0.68259917717714</v>
      </c>
      <c r="V16" s="48" t="n">
        <f aca="false">R16</f>
        <v>0.680652121044758</v>
      </c>
      <c r="W16" s="48" t="n">
        <f aca="false">S16</f>
        <v>0.678700473512804</v>
      </c>
      <c r="X16" s="48" t="n">
        <f aca="false">T16</f>
        <v>0.68259917717714</v>
      </c>
      <c r="Z16" s="0" t="n">
        <f aca="false">$Z$43*V16^3+$Z$44*V16^2+$Z$45*V16+$Z$46</f>
        <v>2880.62227158549</v>
      </c>
      <c r="AA16" s="0" t="n">
        <f aca="false">$Z$43*W16^3+$Z$44*W16^2+$Z$45*W16+$Z$46</f>
        <v>2886.59786994774</v>
      </c>
      <c r="AB16" s="0" t="n">
        <f aca="false">$Z$43*X16^3+$Z$44*X16^2+$Z$45*X16+$Z$46</f>
        <v>2874.66079019495</v>
      </c>
      <c r="AC16" s="48"/>
      <c r="AD16" s="49" t="n">
        <f aca="false">ROUND(Z16/10-273.15,1)</f>
        <v>14.9</v>
      </c>
      <c r="AE16" s="49" t="n">
        <f aca="false">ROUND(AA16/10-273.15,1)</f>
        <v>15.5</v>
      </c>
      <c r="AF16" s="49" t="n">
        <f aca="false">ROUND(AB16/10-273.15,1)</f>
        <v>14.3</v>
      </c>
      <c r="AG16" s="50"/>
      <c r="AH16" s="49" t="n">
        <f aca="false">AD16-$C16</f>
        <v>-0.0999999999999996</v>
      </c>
      <c r="AI16" s="49" t="n">
        <f aca="false">AE16-$C16</f>
        <v>0.5</v>
      </c>
      <c r="AJ16" s="49" t="n">
        <f aca="false">AF16-$C16</f>
        <v>-0.699999999999999</v>
      </c>
      <c r="AK16" s="48" t="n">
        <f aca="false">MINA(AI16:AJ16)</f>
        <v>-0.699999999999999</v>
      </c>
      <c r="AL16" s="48" t="n">
        <f aca="false">MAX(AI16:AJ16)</f>
        <v>0.5</v>
      </c>
      <c r="AN16" s="48" t="n">
        <f aca="false">AD16-($AD$18-$B$5)</f>
        <v>15</v>
      </c>
      <c r="AO16" s="48" t="n">
        <f aca="false">AE16-($AE$18-$B$5)</f>
        <v>15</v>
      </c>
      <c r="AP16" s="48" t="n">
        <f aca="false">AF16-($AF$18-$B$5)</f>
        <v>14.9</v>
      </c>
      <c r="AQ16" s="48"/>
      <c r="AR16" s="49" t="n">
        <f aca="false">AN16-$C16</f>
        <v>0</v>
      </c>
      <c r="AS16" s="49" t="n">
        <f aca="false">AO16-$C16</f>
        <v>0</v>
      </c>
      <c r="AT16" s="49" t="n">
        <f aca="false">AP16-$C16</f>
        <v>-0.0999999999999979</v>
      </c>
      <c r="AU16" s="48" t="n">
        <f aca="false">MINA(AS16:AT16)</f>
        <v>-0.0999999999999979</v>
      </c>
      <c r="AV16" s="48" t="n">
        <f aca="false">MAX(AS16:AT16)</f>
        <v>0</v>
      </c>
      <c r="AW16" s="48"/>
      <c r="AX16" s="48"/>
    </row>
    <row r="17" customFormat="false" ht="12.75" hidden="false" customHeight="false" outlineLevel="0" collapsed="false">
      <c r="C17" s="26" t="n">
        <f aca="false">Accuracy!F16</f>
        <v>20</v>
      </c>
      <c r="D17" s="26" t="n">
        <f aca="false">'Resistor Network'!AB17</f>
        <v>0.401794616151545</v>
      </c>
      <c r="E17" s="26" t="n">
        <f aca="false">'Resistor Network'!AC17</f>
        <v>0.39654266669527</v>
      </c>
      <c r="F17" s="26" t="n">
        <f aca="false">'Resistor Network'!AD17</f>
        <v>0.407069202657288</v>
      </c>
      <c r="G17" s="35"/>
      <c r="H17" s="35"/>
      <c r="J17" s="0" t="n">
        <f aca="false">ROUND(D17*2^$K$2,0)</f>
        <v>13166</v>
      </c>
      <c r="K17" s="0" t="n">
        <f aca="false">ROUND(E17*2^$K$2,0)</f>
        <v>12994</v>
      </c>
      <c r="L17" s="0" t="n">
        <f aca="false">ROUND(F17*2^$K$2,0)</f>
        <v>13339</v>
      </c>
      <c r="N17" s="48" t="n">
        <f aca="false">J17/2^15</f>
        <v>0.40179443359375</v>
      </c>
      <c r="O17" s="48" t="n">
        <f aca="false">K17/2^15</f>
        <v>0.39654541015625</v>
      </c>
      <c r="P17" s="48" t="n">
        <f aca="false">L17/2^15</f>
        <v>0.407073974609375</v>
      </c>
      <c r="Q17" s="48"/>
      <c r="R17" s="48" t="n">
        <f aca="false">N17/($R$42*N17^4+$R$43*N17^3+$R$44*N17^2+$R$45*N17+$R$46)*2^14</f>
        <v>0.66440254506364</v>
      </c>
      <c r="S17" s="48" t="n">
        <f aca="false">O17/($R$42*O17^4+$R$43*O17^3+$R$44*O17^2+$R$45*O17+$R$46)*2^14</f>
        <v>0.662533496071054</v>
      </c>
      <c r="T17" s="48" t="n">
        <f aca="false">P17/($R$42*P17^4+$R$43*P17^3+$R$44*P17^2+$R$45*P17+$R$46)*2^14</f>
        <v>0.66626560087391</v>
      </c>
      <c r="V17" s="48" t="n">
        <f aca="false">R17</f>
        <v>0.66440254506364</v>
      </c>
      <c r="W17" s="48" t="n">
        <f aca="false">S17</f>
        <v>0.662533496071054</v>
      </c>
      <c r="X17" s="48" t="n">
        <f aca="false">T17</f>
        <v>0.66626560087391</v>
      </c>
      <c r="Z17" s="0" t="n">
        <f aca="false">$Z$43*V17^3+$Z$44*V17^2+$Z$45*V17+$Z$46</f>
        <v>2930.37721506292</v>
      </c>
      <c r="AA17" s="0" t="n">
        <f aca="false">$Z$43*W17^3+$Z$44*W17^2+$Z$45*W17+$Z$46</f>
        <v>2936.1003123413</v>
      </c>
      <c r="AB17" s="0" t="n">
        <f aca="false">$Z$43*X17^3+$Z$44*X17^2+$Z$45*X17+$Z$46</f>
        <v>2924.67250886428</v>
      </c>
      <c r="AC17" s="48"/>
      <c r="AD17" s="49" t="n">
        <f aca="false">ROUND(Z17/10-273.15,1)</f>
        <v>19.9</v>
      </c>
      <c r="AE17" s="49" t="n">
        <f aca="false">ROUND(AA17/10-273.15,1)</f>
        <v>20.5</v>
      </c>
      <c r="AF17" s="49" t="n">
        <f aca="false">ROUND(AB17/10-273.15,1)</f>
        <v>19.3</v>
      </c>
      <c r="AG17" s="50"/>
      <c r="AH17" s="49" t="n">
        <f aca="false">AD17-$C17</f>
        <v>-0.100000000000001</v>
      </c>
      <c r="AI17" s="49" t="n">
        <f aca="false">AE17-$C17</f>
        <v>0.5</v>
      </c>
      <c r="AJ17" s="49" t="n">
        <f aca="false">AF17-$C17</f>
        <v>-0.699999999999999</v>
      </c>
      <c r="AK17" s="48" t="n">
        <f aca="false">MINA(AI17:AJ17)</f>
        <v>-0.699999999999999</v>
      </c>
      <c r="AL17" s="48" t="n">
        <f aca="false">MAX(AI17:AJ17)</f>
        <v>0.5</v>
      </c>
      <c r="AN17" s="48" t="n">
        <f aca="false">AD17-($AD$18-$B$5)</f>
        <v>20</v>
      </c>
      <c r="AO17" s="48" t="n">
        <f aca="false">AE17-($AE$18-$B$5)</f>
        <v>20</v>
      </c>
      <c r="AP17" s="48" t="n">
        <f aca="false">AF17-($AF$18-$B$5)</f>
        <v>19.9</v>
      </c>
      <c r="AQ17" s="48"/>
      <c r="AR17" s="49" t="n">
        <f aca="false">AN17-$C17</f>
        <v>0</v>
      </c>
      <c r="AS17" s="49" t="n">
        <f aca="false">AO17-$C17</f>
        <v>0</v>
      </c>
      <c r="AT17" s="49" t="n">
        <f aca="false">AP17-$C17</f>
        <v>-0.0999999999999979</v>
      </c>
      <c r="AU17" s="48" t="n">
        <f aca="false">MINA(AS17:AT17)</f>
        <v>-0.0999999999999979</v>
      </c>
      <c r="AV17" s="48" t="n">
        <f aca="false">MAX(AS17:AT17)</f>
        <v>0</v>
      </c>
      <c r="AW17" s="48"/>
      <c r="AX17" s="48"/>
    </row>
    <row r="18" customFormat="false" ht="12.75" hidden="false" customHeight="false" outlineLevel="0" collapsed="false">
      <c r="C18" s="26" t="n">
        <f aca="false">Accuracy!F17</f>
        <v>25</v>
      </c>
      <c r="D18" s="26" t="n">
        <f aca="false">'Resistor Network'!AB18</f>
        <v>0.357142857142857</v>
      </c>
      <c r="E18" s="26" t="n">
        <f aca="false">'Resistor Network'!AC18</f>
        <v>0.352564102564103</v>
      </c>
      <c r="F18" s="26" t="n">
        <f aca="false">'Resistor Network'!AD18</f>
        <v>0.361747851002865</v>
      </c>
      <c r="G18" s="35"/>
      <c r="H18" s="35"/>
      <c r="J18" s="0" t="n">
        <f aca="false">ROUND(D18*2^$K$2,0)</f>
        <v>11703</v>
      </c>
      <c r="K18" s="0" t="n">
        <f aca="false">ROUND(E18*2^$K$2,0)</f>
        <v>11553</v>
      </c>
      <c r="L18" s="0" t="n">
        <f aca="false">ROUND(F18*2^$K$2,0)</f>
        <v>11854</v>
      </c>
      <c r="N18" s="48" t="n">
        <f aca="false">J18/2^15</f>
        <v>0.357147216796875</v>
      </c>
      <c r="O18" s="48" t="n">
        <f aca="false">K18/2^15</f>
        <v>0.352569580078125</v>
      </c>
      <c r="P18" s="48" t="n">
        <f aca="false">L18/2^15</f>
        <v>0.36175537109375</v>
      </c>
      <c r="Q18" s="48"/>
      <c r="R18" s="48" t="n">
        <f aca="false">N18/($R$42*N18^4+$R$43*N18^3+$R$44*N18^2+$R$45*N18+$R$46)*2^14</f>
        <v>0.647908500417116</v>
      </c>
      <c r="S18" s="48" t="n">
        <f aca="false">O18/($R$42*O18^4+$R$43*O18^3+$R$44*O18^2+$R$45*O18+$R$46)*2^14</f>
        <v>0.646133523311662</v>
      </c>
      <c r="T18" s="48" t="n">
        <f aca="false">P18/($R$42*P18^4+$R$43*P18^3+$R$44*P18^2+$R$45*P18+$R$46)*2^14</f>
        <v>0.649678227945912</v>
      </c>
      <c r="V18" s="48" t="n">
        <f aca="false">R18</f>
        <v>0.647908500417116</v>
      </c>
      <c r="W18" s="48" t="n">
        <f aca="false">S18</f>
        <v>0.646133523311662</v>
      </c>
      <c r="X18" s="48" t="n">
        <f aca="false">T18</f>
        <v>0.649678227945912</v>
      </c>
      <c r="Z18" s="0" t="n">
        <f aca="false">$Z$43*V18^3+$Z$44*V18^2+$Z$45*V18+$Z$46</f>
        <v>2980.88378349601</v>
      </c>
      <c r="AA18" s="0" t="n">
        <f aca="false">$Z$43*W18^3+$Z$44*W18^2+$Z$45*W18+$Z$46</f>
        <v>2986.31909546425</v>
      </c>
      <c r="AB18" s="0" t="n">
        <f aca="false">$Z$43*X18^3+$Z$44*X18^2+$Z$45*X18+$Z$46</f>
        <v>2975.4645695244</v>
      </c>
      <c r="AC18" s="48"/>
      <c r="AD18" s="49" t="n">
        <f aca="false">ROUND(Z18/10-273.15,1)</f>
        <v>24.9</v>
      </c>
      <c r="AE18" s="49" t="n">
        <f aca="false">ROUND(AA18/10-273.15,1)</f>
        <v>25.5</v>
      </c>
      <c r="AF18" s="49" t="n">
        <f aca="false">ROUND(AB18/10-273.15,1)</f>
        <v>24.4</v>
      </c>
      <c r="AG18" s="50"/>
      <c r="AH18" s="49" t="n">
        <f aca="false">AD18-$C18</f>
        <v>-0.100000000000001</v>
      </c>
      <c r="AI18" s="49" t="n">
        <f aca="false">AE18-$C18</f>
        <v>0.5</v>
      </c>
      <c r="AJ18" s="49" t="n">
        <f aca="false">AF18-$C18</f>
        <v>-0.600000000000001</v>
      </c>
      <c r="AK18" s="48" t="n">
        <f aca="false">MINA(AI18:AJ18)</f>
        <v>-0.600000000000001</v>
      </c>
      <c r="AL18" s="48" t="n">
        <f aca="false">MAX(AI18:AJ18)</f>
        <v>0.5</v>
      </c>
      <c r="AN18" s="48" t="n">
        <f aca="false">AD18-($AD$18-$B$5)</f>
        <v>25</v>
      </c>
      <c r="AO18" s="48" t="n">
        <f aca="false">AE18-($AE$18-$B$5)</f>
        <v>25</v>
      </c>
      <c r="AP18" s="48" t="n">
        <f aca="false">AF18-($AF$18-$B$5)</f>
        <v>25</v>
      </c>
      <c r="AQ18" s="48"/>
      <c r="AR18" s="49" t="n">
        <f aca="false">AN18-$C18</f>
        <v>0</v>
      </c>
      <c r="AS18" s="49" t="n">
        <f aca="false">AO18-$C18</f>
        <v>0</v>
      </c>
      <c r="AT18" s="49" t="n">
        <f aca="false">AP18-$C18</f>
        <v>0</v>
      </c>
      <c r="AU18" s="48" t="n">
        <f aca="false">MINA(AS18:AT18)</f>
        <v>0</v>
      </c>
      <c r="AV18" s="48" t="n">
        <f aca="false">MAX(AS18:AT18)</f>
        <v>0</v>
      </c>
      <c r="AW18" s="48"/>
      <c r="AX18" s="48"/>
    </row>
    <row r="19" customFormat="false" ht="12.75" hidden="false" customHeight="false" outlineLevel="0" collapsed="false">
      <c r="C19" s="26" t="n">
        <f aca="false">Accuracy!F18</f>
        <v>30</v>
      </c>
      <c r="D19" s="26" t="n">
        <f aca="false">'Resistor Network'!AB19</f>
        <v>0.315927488313761</v>
      </c>
      <c r="E19" s="26" t="n">
        <f aca="false">'Resistor Network'!AC19</f>
        <v>0.311224789653832</v>
      </c>
      <c r="F19" s="26" t="n">
        <f aca="false">'Resistor Network'!AD19</f>
        <v>0.320668163631629</v>
      </c>
      <c r="G19" s="35"/>
      <c r="H19" s="35"/>
      <c r="J19" s="0" t="n">
        <f aca="false">ROUND(D19*2^$K$2,0)</f>
        <v>10352</v>
      </c>
      <c r="K19" s="0" t="n">
        <f aca="false">ROUND(E19*2^$K$2,0)</f>
        <v>10198</v>
      </c>
      <c r="L19" s="0" t="n">
        <f aca="false">ROUND(F19*2^$K$2,0)</f>
        <v>10508</v>
      </c>
      <c r="N19" s="48" t="n">
        <f aca="false">J19/2^15</f>
        <v>0.31591796875</v>
      </c>
      <c r="O19" s="48" t="n">
        <f aca="false">K19/2^15</f>
        <v>0.31121826171875</v>
      </c>
      <c r="P19" s="48" t="n">
        <f aca="false">L19/2^15</f>
        <v>0.3206787109375</v>
      </c>
      <c r="Q19" s="48"/>
      <c r="R19" s="48" t="n">
        <f aca="false">N19/($R$42*N19^4+$R$43*N19^3+$R$44*N19^2+$R$45*N19+$R$46)*2^14</f>
        <v>0.631250805877202</v>
      </c>
      <c r="S19" s="48" t="n">
        <f aca="false">O19/($R$42*O19^4+$R$43*O19^3+$R$44*O19^2+$R$45*O19+$R$46)*2^14</f>
        <v>0.629247544184136</v>
      </c>
      <c r="T19" s="48" t="n">
        <f aca="false">P19/($R$42*P19^4+$R$43*P19^3+$R$44*P19^2+$R$45*P19+$R$46)*2^14</f>
        <v>0.633256611320398</v>
      </c>
      <c r="V19" s="48" t="n">
        <f aca="false">R19</f>
        <v>0.631250805877202</v>
      </c>
      <c r="W19" s="48" t="n">
        <f aca="false">S19</f>
        <v>0.629247544184136</v>
      </c>
      <c r="X19" s="48" t="n">
        <f aca="false">T19</f>
        <v>0.633256611320398</v>
      </c>
      <c r="Z19" s="0" t="n">
        <f aca="false">$Z$43*V19^3+$Z$44*V19^2+$Z$45*V19+$Z$46</f>
        <v>3031.89347017716</v>
      </c>
      <c r="AA19" s="0" t="n">
        <f aca="false">$Z$43*W19^3+$Z$44*W19^2+$Z$45*W19+$Z$46</f>
        <v>3038.02799808617</v>
      </c>
      <c r="AB19" s="0" t="n">
        <f aca="false">$Z$43*X19^3+$Z$44*X19^2+$Z$45*X19+$Z$46</f>
        <v>3025.75116498413</v>
      </c>
      <c r="AC19" s="48"/>
      <c r="AD19" s="49" t="n">
        <f aca="false">ROUND(Z19/10-273.15,1)</f>
        <v>30</v>
      </c>
      <c r="AE19" s="49" t="n">
        <f aca="false">ROUND(AA19/10-273.15,1)</f>
        <v>30.7</v>
      </c>
      <c r="AF19" s="49" t="n">
        <f aca="false">ROUND(AB19/10-273.15,1)</f>
        <v>29.4</v>
      </c>
      <c r="AG19" s="50"/>
      <c r="AH19" s="49" t="n">
        <f aca="false">AD19-$C19</f>
        <v>0</v>
      </c>
      <c r="AI19" s="49" t="n">
        <f aca="false">AE19-$C19</f>
        <v>0.699999999999999</v>
      </c>
      <c r="AJ19" s="49" t="n">
        <f aca="false">AF19-$C19</f>
        <v>-0.600000000000001</v>
      </c>
      <c r="AK19" s="48" t="n">
        <f aca="false">MINA(AI19:AJ19)</f>
        <v>-0.600000000000001</v>
      </c>
      <c r="AL19" s="48" t="n">
        <f aca="false">MAX(AI19:AJ19)</f>
        <v>0.699999999999999</v>
      </c>
      <c r="AN19" s="48" t="n">
        <f aca="false">AD19-($AD$18-$B$5)</f>
        <v>30.1</v>
      </c>
      <c r="AO19" s="48" t="n">
        <f aca="false">AE19-($AE$18-$B$5)</f>
        <v>30.2</v>
      </c>
      <c r="AP19" s="48" t="n">
        <f aca="false">AF19-($AF$18-$B$5)</f>
        <v>30</v>
      </c>
      <c r="AQ19" s="48"/>
      <c r="AR19" s="49" t="n">
        <f aca="false">AN19-$C19</f>
        <v>0.100000000000001</v>
      </c>
      <c r="AS19" s="49" t="n">
        <f aca="false">AO19-$C19</f>
        <v>0.199999999999999</v>
      </c>
      <c r="AT19" s="49" t="n">
        <f aca="false">AP19-$C19</f>
        <v>0</v>
      </c>
      <c r="AU19" s="48" t="n">
        <f aca="false">MINA(AS19:AT19)</f>
        <v>0</v>
      </c>
      <c r="AV19" s="48" t="n">
        <f aca="false">MAX(AS19:AT19)</f>
        <v>0.199999999999999</v>
      </c>
      <c r="AW19" s="48"/>
      <c r="AX19" s="48"/>
    </row>
    <row r="20" customFormat="false" ht="12.75" hidden="false" customHeight="false" outlineLevel="0" collapsed="false">
      <c r="C20" s="26" t="n">
        <f aca="false">Accuracy!F19</f>
        <v>35</v>
      </c>
      <c r="D20" s="26" t="n">
        <f aca="false">'Resistor Network'!AB20</f>
        <v>0.278267842822775</v>
      </c>
      <c r="E20" s="26" t="n">
        <f aca="false">'Resistor Network'!AC20</f>
        <v>0.273542399753565</v>
      </c>
      <c r="F20" s="26" t="n">
        <f aca="false">'Resistor Network'!AD20</f>
        <v>0.283043112351066</v>
      </c>
      <c r="G20" s="35"/>
      <c r="H20" s="35"/>
      <c r="J20" s="0" t="n">
        <f aca="false">ROUND(D20*2^$K$2,0)</f>
        <v>9118</v>
      </c>
      <c r="K20" s="0" t="n">
        <f aca="false">ROUND(E20*2^$K$2,0)</f>
        <v>8963</v>
      </c>
      <c r="L20" s="0" t="n">
        <f aca="false">ROUND(F20*2^$K$2,0)</f>
        <v>9275</v>
      </c>
      <c r="N20" s="48" t="n">
        <f aca="false">J20/2^15</f>
        <v>0.27825927734375</v>
      </c>
      <c r="O20" s="48" t="n">
        <f aca="false">K20/2^15</f>
        <v>0.273529052734375</v>
      </c>
      <c r="P20" s="48" t="n">
        <f aca="false">L20/2^15</f>
        <v>0.283050537109375</v>
      </c>
      <c r="Q20" s="48"/>
      <c r="R20" s="48" t="n">
        <f aca="false">N20/($R$42*N20^4+$R$43*N20^3+$R$44*N20^2+$R$45*N20+$R$46)*2^14</f>
        <v>0.614488320787131</v>
      </c>
      <c r="S20" s="48" t="n">
        <f aca="false">O20/($R$42*O20^4+$R$43*O20^3+$R$44*O20^2+$R$45*O20+$R$46)*2^14</f>
        <v>0.612257836922424</v>
      </c>
      <c r="T20" s="48" t="n">
        <f aca="false">P20/($R$42*P20^4+$R$43*P20^3+$R$44*P20^2+$R$45*P20+$R$46)*2^14</f>
        <v>0.616716969050722</v>
      </c>
      <c r="V20" s="48" t="n">
        <f aca="false">R20</f>
        <v>0.614488320787131</v>
      </c>
      <c r="W20" s="48" t="n">
        <f aca="false">S20</f>
        <v>0.612257836922424</v>
      </c>
      <c r="X20" s="48" t="n">
        <f aca="false">T20</f>
        <v>0.616716969050722</v>
      </c>
      <c r="Z20" s="0" t="n">
        <f aca="false">$Z$43*V20^3+$Z$44*V20^2+$Z$45*V20+$Z$46</f>
        <v>3083.22490849846</v>
      </c>
      <c r="AA20" s="0" t="n">
        <f aca="false">$Z$43*W20^3+$Z$44*W20^2+$Z$45*W20+$Z$46</f>
        <v>3090.05527820715</v>
      </c>
      <c r="AB20" s="0" t="n">
        <f aca="false">$Z$43*X20^3+$Z$44*X20^2+$Z$45*X20+$Z$46</f>
        <v>3076.40015420754</v>
      </c>
      <c r="AC20" s="48"/>
      <c r="AD20" s="49" t="n">
        <f aca="false">ROUND(Z20/10-273.15,1)</f>
        <v>35.2</v>
      </c>
      <c r="AE20" s="49" t="n">
        <f aca="false">ROUND(AA20/10-273.15,1)</f>
        <v>35.9</v>
      </c>
      <c r="AF20" s="49" t="n">
        <f aca="false">ROUND(AB20/10-273.15,1)</f>
        <v>34.5</v>
      </c>
      <c r="AG20" s="50"/>
      <c r="AH20" s="49" t="n">
        <f aca="false">AD20-$C20</f>
        <v>0.200000000000003</v>
      </c>
      <c r="AI20" s="49" t="n">
        <f aca="false">AE20-$C20</f>
        <v>0.899999999999999</v>
      </c>
      <c r="AJ20" s="49" t="n">
        <f aca="false">AF20-$C20</f>
        <v>-0.5</v>
      </c>
      <c r="AK20" s="48" t="n">
        <f aca="false">MINA(AI20:AJ20)</f>
        <v>-0.5</v>
      </c>
      <c r="AL20" s="48" t="n">
        <f aca="false">MAX(AI20:AJ20)</f>
        <v>0.899999999999999</v>
      </c>
      <c r="AN20" s="48" t="n">
        <f aca="false">AD20-($AD$18-$B$5)</f>
        <v>35.3</v>
      </c>
      <c r="AO20" s="48" t="n">
        <f aca="false">AE20-($AE$18-$B$5)</f>
        <v>35.4</v>
      </c>
      <c r="AP20" s="48" t="n">
        <f aca="false">AF20-($AF$18-$B$5)</f>
        <v>35.1</v>
      </c>
      <c r="AQ20" s="48"/>
      <c r="AR20" s="49" t="n">
        <f aca="false">AN20-$C20</f>
        <v>0.300000000000004</v>
      </c>
      <c r="AS20" s="49" t="n">
        <f aca="false">AO20-$C20</f>
        <v>0.399999999999999</v>
      </c>
      <c r="AT20" s="49" t="n">
        <f aca="false">AP20-$C20</f>
        <v>0.100000000000001</v>
      </c>
      <c r="AU20" s="48" t="n">
        <f aca="false">MINA(AS20:AT20)</f>
        <v>0.100000000000001</v>
      </c>
      <c r="AV20" s="48" t="n">
        <f aca="false">MAX(AS20:AT20)</f>
        <v>0.399999999999999</v>
      </c>
      <c r="AW20" s="48"/>
      <c r="AX20" s="48"/>
    </row>
    <row r="21" customFormat="false" ht="12.75" hidden="false" customHeight="false" outlineLevel="0" collapsed="false">
      <c r="C21" s="26" t="n">
        <f aca="false">Accuracy!F20</f>
        <v>40</v>
      </c>
      <c r="D21" s="26" t="n">
        <f aca="false">'Resistor Network'!AB21</f>
        <v>0.244554496999203</v>
      </c>
      <c r="E21" s="26" t="n">
        <f aca="false">'Resistor Network'!AC21</f>
        <v>0.239892135280129</v>
      </c>
      <c r="F21" s="26" t="n">
        <f aca="false">'Resistor Network'!AD21</f>
        <v>0.249277755897912</v>
      </c>
      <c r="G21" s="35"/>
      <c r="H21" s="35"/>
      <c r="J21" s="0" t="n">
        <f aca="false">ROUND(D21*2^$K$2,0)</f>
        <v>8014</v>
      </c>
      <c r="K21" s="0" t="n">
        <f aca="false">ROUND(E21*2^$K$2,0)</f>
        <v>7861</v>
      </c>
      <c r="L21" s="0" t="n">
        <f aca="false">ROUND(F21*2^$K$2,0)</f>
        <v>8168</v>
      </c>
      <c r="N21" s="48" t="n">
        <f aca="false">J21/2^15</f>
        <v>0.24456787109375</v>
      </c>
      <c r="O21" s="48" t="n">
        <f aca="false">K21/2^15</f>
        <v>0.239898681640625</v>
      </c>
      <c r="P21" s="48" t="n">
        <f aca="false">L21/2^15</f>
        <v>0.249267578125</v>
      </c>
      <c r="Q21" s="48"/>
      <c r="R21" s="48" t="n">
        <f aca="false">N21/($R$42*N21^4+$R$43*N21^3+$R$44*N21^2+$R$45*N21+$R$46)*2^14</f>
        <v>0.597879944698874</v>
      </c>
      <c r="S21" s="48" t="n">
        <f aca="false">O21/($R$42*O21^4+$R$43*O21^3+$R$44*O21^2+$R$45*O21+$R$46)*2^14</f>
        <v>0.595433524026671</v>
      </c>
      <c r="T21" s="48" t="n">
        <f aca="false">P21/($R$42*P21^4+$R$43*P21^3+$R$44*P21^2+$R$45*P21+$R$46)*2^14</f>
        <v>0.60030397181322</v>
      </c>
      <c r="V21" s="48" t="n">
        <f aca="false">R21</f>
        <v>0.597879944698874</v>
      </c>
      <c r="W21" s="48" t="n">
        <f aca="false">S21</f>
        <v>0.595433524026671</v>
      </c>
      <c r="X21" s="48" t="n">
        <f aca="false">T21</f>
        <v>0.60030397181322</v>
      </c>
      <c r="Z21" s="0" t="n">
        <f aca="false">$Z$43*V21^3+$Z$44*V21^2+$Z$45*V21+$Z$46</f>
        <v>3134.08410695798</v>
      </c>
      <c r="AA21" s="0" t="n">
        <f aca="false">$Z$43*W21^3+$Z$44*W21^2+$Z$45*W21+$Z$46</f>
        <v>3141.5755913387</v>
      </c>
      <c r="AB21" s="0" t="n">
        <f aca="false">$Z$43*X21^3+$Z$44*X21^2+$Z$45*X21+$Z$46</f>
        <v>3126.66116513411</v>
      </c>
      <c r="AC21" s="48"/>
      <c r="AD21" s="49" t="n">
        <f aca="false">ROUND(Z21/10-273.15,1)</f>
        <v>40.3</v>
      </c>
      <c r="AE21" s="49" t="n">
        <f aca="false">ROUND(AA21/10-273.15,1)</f>
        <v>41</v>
      </c>
      <c r="AF21" s="49" t="n">
        <f aca="false">ROUND(AB21/10-273.15,1)</f>
        <v>39.5</v>
      </c>
      <c r="AG21" s="50"/>
      <c r="AH21" s="49" t="n">
        <f aca="false">AD21-$C21</f>
        <v>0.299999999999997</v>
      </c>
      <c r="AI21" s="49" t="n">
        <f aca="false">AE21-$C21</f>
        <v>1</v>
      </c>
      <c r="AJ21" s="49" t="n">
        <f aca="false">AF21-$C21</f>
        <v>-0.5</v>
      </c>
      <c r="AK21" s="48" t="n">
        <f aca="false">MINA(AI21:AJ21)</f>
        <v>-0.5</v>
      </c>
      <c r="AL21" s="48" t="n">
        <f aca="false">MAX(AI21:AJ21)</f>
        <v>1</v>
      </c>
      <c r="AN21" s="48" t="n">
        <f aca="false">AD21-($AD$18-$B$5)</f>
        <v>40.4</v>
      </c>
      <c r="AO21" s="48" t="n">
        <f aca="false">AE21-($AE$18-$B$5)</f>
        <v>40.5</v>
      </c>
      <c r="AP21" s="48" t="n">
        <f aca="false">AF21-($AF$18-$B$5)</f>
        <v>40.1</v>
      </c>
      <c r="AQ21" s="48"/>
      <c r="AR21" s="49" t="n">
        <f aca="false">AN21-$C21</f>
        <v>0.399999999999999</v>
      </c>
      <c r="AS21" s="49" t="n">
        <f aca="false">AO21-$C21</f>
        <v>0.5</v>
      </c>
      <c r="AT21" s="49" t="n">
        <f aca="false">AP21-$C21</f>
        <v>0.100000000000001</v>
      </c>
      <c r="AU21" s="48" t="n">
        <f aca="false">MINA(AS21:AT21)</f>
        <v>0.100000000000001</v>
      </c>
      <c r="AV21" s="48" t="n">
        <f aca="false">MAX(AS21:AT21)</f>
        <v>0.5</v>
      </c>
      <c r="AW21" s="48"/>
      <c r="AX21" s="48"/>
    </row>
    <row r="22" customFormat="false" ht="12.75" hidden="false" customHeight="false" outlineLevel="0" collapsed="false">
      <c r="C22" s="26" t="n">
        <f aca="false">Accuracy!F21</f>
        <v>45</v>
      </c>
      <c r="D22" s="26" t="n">
        <f aca="false">'Resistor Network'!AB22</f>
        <v>0.214351185020296</v>
      </c>
      <c r="E22" s="26" t="n">
        <f aca="false">'Resistor Network'!AC22</f>
        <v>0.209820801573032</v>
      </c>
      <c r="F22" s="26" t="n">
        <f aca="false">'Resistor Network'!AD22</f>
        <v>0.218952282312575</v>
      </c>
      <c r="G22" s="35"/>
      <c r="H22" s="35"/>
      <c r="J22" s="0" t="n">
        <f aca="false">ROUND(D22*2^$K$2,0)</f>
        <v>7024</v>
      </c>
      <c r="K22" s="0" t="n">
        <f aca="false">ROUND(E22*2^$K$2,0)</f>
        <v>6875</v>
      </c>
      <c r="L22" s="0" t="n">
        <f aca="false">ROUND(F22*2^$K$2,0)</f>
        <v>7175</v>
      </c>
      <c r="N22" s="48" t="n">
        <f aca="false">J22/2^15</f>
        <v>0.21435546875</v>
      </c>
      <c r="O22" s="48" t="n">
        <f aca="false">K22/2^15</f>
        <v>0.209808349609375</v>
      </c>
      <c r="P22" s="48" t="n">
        <f aca="false">L22/2^15</f>
        <v>0.218963623046875</v>
      </c>
      <c r="Q22" s="48"/>
      <c r="R22" s="48" t="n">
        <f aca="false">N22/($R$42*N22^4+$R$43*N22^3+$R$44*N22^2+$R$45*N22+$R$46)*2^14</f>
        <v>0.58130342190088</v>
      </c>
      <c r="S22" s="48" t="n">
        <f aca="false">O22/($R$42*O22^4+$R$43*O22^3+$R$44*O22^2+$R$45*O22+$R$46)*2^14</f>
        <v>0.578640463409029</v>
      </c>
      <c r="T22" s="48" t="n">
        <f aca="false">P22/($R$42*P22^4+$R$43*P22^3+$R$44*P22^2+$R$45*P22+$R$46)*2^14</f>
        <v>0.583953520829591</v>
      </c>
      <c r="V22" s="48" t="n">
        <f aca="false">R22</f>
        <v>0.58130342190088</v>
      </c>
      <c r="W22" s="48" t="n">
        <f aca="false">S22</f>
        <v>0.578640463409029</v>
      </c>
      <c r="X22" s="48" t="n">
        <f aca="false">T22</f>
        <v>0.583953520829591</v>
      </c>
      <c r="Z22" s="0" t="n">
        <f aca="false">$Z$43*V22^3+$Z$44*V22^2+$Z$45*V22+$Z$46</f>
        <v>3184.84429587359</v>
      </c>
      <c r="AA22" s="0" t="n">
        <f aca="false">$Z$43*W22^3+$Z$44*W22^2+$Z$45*W22+$Z$46</f>
        <v>3192.99852309481</v>
      </c>
      <c r="AB22" s="0" t="n">
        <f aca="false">$Z$43*X22^3+$Z$44*X22^2+$Z$45*X22+$Z$46</f>
        <v>3176.72937886442</v>
      </c>
      <c r="AC22" s="48"/>
      <c r="AD22" s="49" t="n">
        <f aca="false">ROUND(Z22/10-273.15,1)</f>
        <v>45.3</v>
      </c>
      <c r="AE22" s="49" t="n">
        <f aca="false">ROUND(AA22/10-273.15,1)</f>
        <v>46.1</v>
      </c>
      <c r="AF22" s="49" t="n">
        <f aca="false">ROUND(AB22/10-273.15,1)</f>
        <v>44.5</v>
      </c>
      <c r="AG22" s="50"/>
      <c r="AH22" s="49" t="n">
        <f aca="false">AD22-$C22</f>
        <v>0.299999999999997</v>
      </c>
      <c r="AI22" s="49" t="n">
        <f aca="false">AE22-$C22</f>
        <v>1.1</v>
      </c>
      <c r="AJ22" s="49" t="n">
        <f aca="false">AF22-$C22</f>
        <v>-0.5</v>
      </c>
      <c r="AK22" s="48" t="n">
        <f aca="false">MINA(AI22:AJ22)</f>
        <v>-0.5</v>
      </c>
      <c r="AL22" s="48" t="n">
        <f aca="false">MAX(AI22:AJ22)</f>
        <v>1.1</v>
      </c>
      <c r="AN22" s="48" t="n">
        <f aca="false">AD22-($AD$18-$B$5)</f>
        <v>45.4</v>
      </c>
      <c r="AO22" s="48" t="n">
        <f aca="false">AE22-($AE$18-$B$5)</f>
        <v>45.6</v>
      </c>
      <c r="AP22" s="48" t="n">
        <f aca="false">AF22-($AF$18-$B$5)</f>
        <v>45.1</v>
      </c>
      <c r="AQ22" s="48"/>
      <c r="AR22" s="49" t="n">
        <f aca="false">AN22-$C22</f>
        <v>0.399999999999999</v>
      </c>
      <c r="AS22" s="49" t="n">
        <f aca="false">AO22-$C22</f>
        <v>0.600000000000001</v>
      </c>
      <c r="AT22" s="49" t="n">
        <f aca="false">AP22-$C22</f>
        <v>0.100000000000001</v>
      </c>
      <c r="AU22" s="48" t="n">
        <f aca="false">MINA(AS22:AT22)</f>
        <v>0.100000000000001</v>
      </c>
      <c r="AV22" s="48" t="n">
        <f aca="false">MAX(AS22:AT22)</f>
        <v>0.600000000000001</v>
      </c>
      <c r="AW22" s="48"/>
      <c r="AX22" s="48"/>
    </row>
    <row r="23" customFormat="false" ht="12.75" hidden="false" customHeight="false" outlineLevel="0" collapsed="false">
      <c r="C23" s="26" t="n">
        <f aca="false">Accuracy!F22</f>
        <v>50</v>
      </c>
      <c r="D23" s="26" t="n">
        <f aca="false">'Resistor Network'!AB23</f>
        <v>0.187725631768953</v>
      </c>
      <c r="E23" s="26" t="n">
        <f aca="false">'Resistor Network'!AC23</f>
        <v>0.183377801241167</v>
      </c>
      <c r="F23" s="26" t="n">
        <f aca="false">'Resistor Network'!AD23</f>
        <v>0.192152291799523</v>
      </c>
      <c r="G23" s="35"/>
      <c r="H23" s="35"/>
      <c r="J23" s="0" t="n">
        <f aca="false">ROUND(D23*2^$K$2,0)</f>
        <v>6151</v>
      </c>
      <c r="K23" s="0" t="n">
        <f aca="false">ROUND(E23*2^$K$2,0)</f>
        <v>6009</v>
      </c>
      <c r="L23" s="0" t="n">
        <f aca="false">ROUND(F23*2^$K$2,0)</f>
        <v>6296</v>
      </c>
      <c r="N23" s="48" t="n">
        <f aca="false">J23/2^15</f>
        <v>0.187713623046875</v>
      </c>
      <c r="O23" s="48" t="n">
        <f aca="false">K23/2^15</f>
        <v>0.183380126953125</v>
      </c>
      <c r="P23" s="48" t="n">
        <f aca="false">L23/2^15</f>
        <v>0.192138671875</v>
      </c>
      <c r="Q23" s="48"/>
      <c r="R23" s="48" t="n">
        <f aca="false">N23/($R$42*N23^4+$R$43*N23^3+$R$44*N23^2+$R$45*N23+$R$46)*2^14</f>
        <v>0.564942629594766</v>
      </c>
      <c r="S23" s="48" t="n">
        <f aca="false">O23/($R$42*O23^4+$R$43*O23^3+$R$44*O23^2+$R$45*O23+$R$46)*2^14</f>
        <v>0.562090399785925</v>
      </c>
      <c r="T23" s="48" t="n">
        <f aca="false">P23/($R$42*P23^4+$R$43*P23^3+$R$44*P23^2+$R$45*P23+$R$46)*2^14</f>
        <v>0.567795214915633</v>
      </c>
      <c r="V23" s="48" t="n">
        <f aca="false">R23</f>
        <v>0.564942629594766</v>
      </c>
      <c r="W23" s="48" t="n">
        <f aca="false">S23</f>
        <v>0.562090399785925</v>
      </c>
      <c r="X23" s="48" t="n">
        <f aca="false">T23</f>
        <v>0.567795214915633</v>
      </c>
      <c r="Z23" s="0" t="n">
        <f aca="false">$Z$43*V23^3+$Z$44*V23^2+$Z$45*V23+$Z$46</f>
        <v>3234.94132268395</v>
      </c>
      <c r="AA23" s="0" t="n">
        <f aca="false">$Z$43*W23^3+$Z$44*W23^2+$Z$45*W23+$Z$46</f>
        <v>3243.67455681346</v>
      </c>
      <c r="AB23" s="0" t="n">
        <f aca="false">$Z$43*X23^3+$Z$44*X23^2+$Z$45*X23+$Z$46</f>
        <v>3226.20688907348</v>
      </c>
      <c r="AC23" s="48"/>
      <c r="AD23" s="49" t="n">
        <f aca="false">ROUND(Z23/10-273.15,1)</f>
        <v>50.3</v>
      </c>
      <c r="AE23" s="49" t="n">
        <f aca="false">ROUND(AA23/10-273.15,1)</f>
        <v>51.2</v>
      </c>
      <c r="AF23" s="49" t="n">
        <f aca="false">ROUND(AB23/10-273.15,1)</f>
        <v>49.5</v>
      </c>
      <c r="AG23" s="50"/>
      <c r="AH23" s="49" t="n">
        <f aca="false">AD23-$C23</f>
        <v>0.299999999999997</v>
      </c>
      <c r="AI23" s="49" t="n">
        <f aca="false">AE23-$C23</f>
        <v>1.2</v>
      </c>
      <c r="AJ23" s="49" t="n">
        <f aca="false">AF23-$C23</f>
        <v>-0.5</v>
      </c>
      <c r="AK23" s="48" t="n">
        <f aca="false">MINA(AI23:AJ23)</f>
        <v>-0.5</v>
      </c>
      <c r="AL23" s="48" t="n">
        <f aca="false">MAX(AI23:AJ23)</f>
        <v>1.2</v>
      </c>
      <c r="AN23" s="48" t="n">
        <f aca="false">AD23-($AD$18-$B$5)</f>
        <v>50.4</v>
      </c>
      <c r="AO23" s="48" t="n">
        <f aca="false">AE23-($AE$18-$B$5)</f>
        <v>50.7</v>
      </c>
      <c r="AP23" s="48" t="n">
        <f aca="false">AF23-($AF$18-$B$5)</f>
        <v>50.1</v>
      </c>
      <c r="AQ23" s="48"/>
      <c r="AR23" s="49" t="n">
        <f aca="false">AN23-$C23</f>
        <v>0.399999999999999</v>
      </c>
      <c r="AS23" s="49" t="n">
        <f aca="false">AO23-$C23</f>
        <v>0.700000000000003</v>
      </c>
      <c r="AT23" s="49" t="n">
        <f aca="false">AP23-$C23</f>
        <v>0.100000000000001</v>
      </c>
      <c r="AU23" s="48" t="n">
        <f aca="false">MINA(AS23:AT23)</f>
        <v>0.100000000000001</v>
      </c>
      <c r="AV23" s="48" t="n">
        <f aca="false">MAX(AS23:AT23)</f>
        <v>0.700000000000003</v>
      </c>
      <c r="AW23" s="48"/>
      <c r="AX23" s="48"/>
    </row>
    <row r="24" customFormat="false" ht="12.75" hidden="false" customHeight="false" outlineLevel="0" collapsed="false">
      <c r="C24" s="26" t="n">
        <f aca="false">Accuracy!F23</f>
        <v>55</v>
      </c>
      <c r="D24" s="26" t="n">
        <f aca="false">'Resistor Network'!AB24</f>
        <v>0.164190193164933</v>
      </c>
      <c r="E24" s="26" t="n">
        <f aca="false">'Resistor Network'!AC24</f>
        <v>0.160061283438693</v>
      </c>
      <c r="F24" s="26" t="n">
        <f aca="false">'Resistor Network'!AD24</f>
        <v>0.168404256916691</v>
      </c>
      <c r="G24" s="35"/>
      <c r="H24" s="35"/>
      <c r="J24" s="0" t="n">
        <f aca="false">ROUND(D24*2^$K$2,0)</f>
        <v>5380</v>
      </c>
      <c r="K24" s="0" t="n">
        <f aca="false">ROUND(E24*2^$K$2,0)</f>
        <v>5245</v>
      </c>
      <c r="L24" s="0" t="n">
        <f aca="false">ROUND(F24*2^$K$2,0)</f>
        <v>5518</v>
      </c>
      <c r="N24" s="48" t="n">
        <f aca="false">J24/2^15</f>
        <v>0.1641845703125</v>
      </c>
      <c r="O24" s="48" t="n">
        <f aca="false">K24/2^15</f>
        <v>0.160064697265625</v>
      </c>
      <c r="P24" s="48" t="n">
        <f aca="false">L24/2^15</f>
        <v>0.16839599609375</v>
      </c>
      <c r="Q24" s="48"/>
      <c r="R24" s="48" t="n">
        <f aca="false">N24/($R$42*N24^4+$R$43*N24^3+$R$44*N24^2+$R$45*N24+$R$46)*2^14</f>
        <v>0.548669986005094</v>
      </c>
      <c r="S24" s="48" t="n">
        <f aca="false">O24/($R$42*O24^4+$R$43*O24^3+$R$44*O24^2+$R$45*O24+$R$46)*2^14</f>
        <v>0.545600602080732</v>
      </c>
      <c r="T24" s="48" t="n">
        <f aca="false">P24/($R$42*P24^4+$R$43*P24^3+$R$44*P24^2+$R$45*P24+$R$46)*2^14</f>
        <v>0.551733789180399</v>
      </c>
      <c r="V24" s="48" t="n">
        <f aca="false">R24</f>
        <v>0.548669986005094</v>
      </c>
      <c r="W24" s="48" t="n">
        <f aca="false">S24</f>
        <v>0.545600602080732</v>
      </c>
      <c r="X24" s="48" t="n">
        <f aca="false">T24</f>
        <v>0.551733789180399</v>
      </c>
      <c r="Z24" s="0" t="n">
        <f aca="false">$Z$43*V24^3+$Z$44*V24^2+$Z$45*V24+$Z$46</f>
        <v>3284.76481840943</v>
      </c>
      <c r="AA24" s="0" t="n">
        <f aca="false">$Z$43*W24^3+$Z$44*W24^2+$Z$45*W24+$Z$46</f>
        <v>3294.16214865629</v>
      </c>
      <c r="AB24" s="0" t="n">
        <f aca="false">$Z$43*X24^3+$Z$44*X24^2+$Z$45*X24+$Z$46</f>
        <v>3275.38440773969</v>
      </c>
      <c r="AC24" s="48"/>
      <c r="AD24" s="49" t="n">
        <f aca="false">ROUND(Z24/10-273.15,1)</f>
        <v>55.3</v>
      </c>
      <c r="AE24" s="49" t="n">
        <f aca="false">ROUND(AA24/10-273.15,1)</f>
        <v>56.3</v>
      </c>
      <c r="AF24" s="49" t="n">
        <f aca="false">ROUND(AB24/10-273.15,1)</f>
        <v>54.4</v>
      </c>
      <c r="AG24" s="50"/>
      <c r="AH24" s="49" t="n">
        <f aca="false">AD24-$C24</f>
        <v>0.299999999999997</v>
      </c>
      <c r="AI24" s="49" t="n">
        <f aca="false">AE24-$C24</f>
        <v>1.3</v>
      </c>
      <c r="AJ24" s="49" t="n">
        <f aca="false">AF24-$C24</f>
        <v>-0.600000000000001</v>
      </c>
      <c r="AK24" s="48" t="n">
        <f aca="false">MINA(AI24:AJ24)</f>
        <v>-0.600000000000001</v>
      </c>
      <c r="AL24" s="48" t="n">
        <f aca="false">MAX(AI24:AJ24)</f>
        <v>1.3</v>
      </c>
      <c r="AN24" s="48" t="n">
        <f aca="false">AD24-($AD$18-$B$5)</f>
        <v>55.4</v>
      </c>
      <c r="AO24" s="48" t="n">
        <f aca="false">AE24-($AE$18-$B$5)</f>
        <v>55.8</v>
      </c>
      <c r="AP24" s="48" t="n">
        <f aca="false">AF24-($AF$18-$B$5)</f>
        <v>55</v>
      </c>
      <c r="AQ24" s="48"/>
      <c r="AR24" s="49" t="n">
        <f aca="false">AN24-$C24</f>
        <v>0.399999999999999</v>
      </c>
      <c r="AS24" s="49" t="n">
        <f aca="false">AO24-$C24</f>
        <v>0.799999999999997</v>
      </c>
      <c r="AT24" s="49" t="n">
        <f aca="false">AP24-$C24</f>
        <v>0</v>
      </c>
      <c r="AU24" s="48" t="n">
        <f aca="false">MINA(AS24:AT24)</f>
        <v>0</v>
      </c>
      <c r="AV24" s="48" t="n">
        <f aca="false">MAX(AS24:AT24)</f>
        <v>0.799999999999997</v>
      </c>
      <c r="AW24" s="48"/>
      <c r="AX24" s="48"/>
    </row>
    <row r="25" customFormat="false" ht="12.75" hidden="false" customHeight="false" outlineLevel="0" collapsed="false">
      <c r="C25" s="26" t="n">
        <f aca="false">Accuracy!F24</f>
        <v>60</v>
      </c>
      <c r="D25" s="26" t="n">
        <f aca="false">'Resistor Network'!AB25</f>
        <v>0.143672692673644</v>
      </c>
      <c r="E25" s="26" t="n">
        <f aca="false">'Resistor Network'!AC25</f>
        <v>0.139783551565016</v>
      </c>
      <c r="F25" s="26" t="n">
        <f aca="false">'Resistor Network'!AD25</f>
        <v>0.147651466809416</v>
      </c>
      <c r="G25" s="35"/>
      <c r="H25" s="35"/>
      <c r="J25" s="0" t="n">
        <f aca="false">ROUND(D25*2^$K$2,0)</f>
        <v>4708</v>
      </c>
      <c r="K25" s="0" t="n">
        <f aca="false">ROUND(E25*2^$K$2,0)</f>
        <v>4580</v>
      </c>
      <c r="L25" s="0" t="n">
        <f aca="false">ROUND(F25*2^$K$2,0)</f>
        <v>4838</v>
      </c>
      <c r="N25" s="48" t="n">
        <f aca="false">J25/2^15</f>
        <v>0.1436767578125</v>
      </c>
      <c r="O25" s="48" t="n">
        <f aca="false">K25/2^15</f>
        <v>0.1397705078125</v>
      </c>
      <c r="P25" s="48" t="n">
        <f aca="false">L25/2^15</f>
        <v>0.14764404296875</v>
      </c>
      <c r="Q25" s="48"/>
      <c r="R25" s="48" t="n">
        <f aca="false">N25/($R$42*N25^4+$R$43*N25^3+$R$44*N25^2+$R$45*N25+$R$46)*2^14</f>
        <v>0.532591474229612</v>
      </c>
      <c r="S25" s="48" t="n">
        <f aca="false">O25/($R$42*O25^4+$R$43*O25^3+$R$44*O25^2+$R$45*O25+$R$46)*2^14</f>
        <v>0.529276448238134</v>
      </c>
      <c r="T25" s="48" t="n">
        <f aca="false">P25/($R$42*P25^4+$R$43*P25^3+$R$44*P25^2+$R$45*P25+$R$46)*2^14</f>
        <v>0.535868304266763</v>
      </c>
      <c r="V25" s="48" t="n">
        <f aca="false">R25</f>
        <v>0.532591474229612</v>
      </c>
      <c r="W25" s="48" t="n">
        <f aca="false">S25</f>
        <v>0.529276448238134</v>
      </c>
      <c r="X25" s="48" t="n">
        <f aca="false">T25</f>
        <v>0.535868304266763</v>
      </c>
      <c r="Z25" s="0" t="n">
        <f aca="false">$Z$43*V25^3+$Z$44*V25^2+$Z$45*V25+$Z$46</f>
        <v>3333.98931404701</v>
      </c>
      <c r="AA25" s="0" t="n">
        <f aca="false">$Z$43*W25^3+$Z$44*W25^2+$Z$45*W25+$Z$46</f>
        <v>3344.13762742312</v>
      </c>
      <c r="AB25" s="0" t="n">
        <f aca="false">$Z$43*X25^3+$Z$44*X25^2+$Z$45*X25+$Z$46</f>
        <v>3323.957694888</v>
      </c>
      <c r="AC25" s="48"/>
      <c r="AD25" s="49" t="n">
        <f aca="false">ROUND(Z25/10-273.15,1)</f>
        <v>60.2</v>
      </c>
      <c r="AE25" s="49" t="n">
        <f aca="false">ROUND(AA25/10-273.15,1)</f>
        <v>61.3</v>
      </c>
      <c r="AF25" s="49" t="n">
        <f aca="false">ROUND(AB25/10-273.15,1)</f>
        <v>59.2</v>
      </c>
      <c r="AG25" s="50"/>
      <c r="AH25" s="49" t="n">
        <f aca="false">AD25-$C25</f>
        <v>0.200000000000003</v>
      </c>
      <c r="AI25" s="49" t="n">
        <f aca="false">AE25-$C25</f>
        <v>1.3</v>
      </c>
      <c r="AJ25" s="49" t="n">
        <f aca="false">AF25-$C25</f>
        <v>-0.799999999999997</v>
      </c>
      <c r="AK25" s="48" t="n">
        <f aca="false">MINA(AI25:AJ25)</f>
        <v>-0.799999999999997</v>
      </c>
      <c r="AL25" s="48" t="n">
        <f aca="false">MAX(AI25:AJ25)</f>
        <v>1.3</v>
      </c>
      <c r="AN25" s="48" t="n">
        <f aca="false">AD25-($AD$18-$B$5)</f>
        <v>60.3</v>
      </c>
      <c r="AO25" s="48" t="n">
        <f aca="false">AE25-($AE$18-$B$5)</f>
        <v>60.8</v>
      </c>
      <c r="AP25" s="48" t="n">
        <f aca="false">AF25-($AF$18-$B$5)</f>
        <v>59.8</v>
      </c>
      <c r="AQ25" s="48"/>
      <c r="AR25" s="49" t="n">
        <f aca="false">AN25-$C25</f>
        <v>0.300000000000004</v>
      </c>
      <c r="AS25" s="49" t="n">
        <f aca="false">AO25-$C25</f>
        <v>0.799999999999997</v>
      </c>
      <c r="AT25" s="49" t="n">
        <f aca="false">AP25-$C25</f>
        <v>-0.199999999999996</v>
      </c>
      <c r="AU25" s="48" t="n">
        <f aca="false">MINA(AS25:AT25)</f>
        <v>-0.199999999999996</v>
      </c>
      <c r="AV25" s="48" t="n">
        <f aca="false">MAX(AS25:AT25)</f>
        <v>0.799999999999997</v>
      </c>
      <c r="AW25" s="48"/>
      <c r="AX25" s="48"/>
    </row>
    <row r="26" customFormat="false" ht="12.75" hidden="false" customHeight="false" outlineLevel="0" collapsed="false">
      <c r="C26" s="26" t="n">
        <f aca="false">Accuracy!F25</f>
        <v>65</v>
      </c>
      <c r="D26" s="26" t="n">
        <f aca="false">'Resistor Network'!AB26</f>
        <v>0.125704293763357</v>
      </c>
      <c r="E26" s="26" t="n">
        <f aca="false">'Resistor Network'!AC26</f>
        <v>0.12206658863969</v>
      </c>
      <c r="F26" s="26" t="n">
        <f aca="false">'Resistor Network'!AD26</f>
        <v>0.129434423537334</v>
      </c>
      <c r="G26" s="35"/>
      <c r="H26" s="35"/>
      <c r="J26" s="0" t="n">
        <f aca="false">ROUND(D26*2^$K$2,0)</f>
        <v>4119</v>
      </c>
      <c r="K26" s="0" t="n">
        <f aca="false">ROUND(E26*2^$K$2,0)</f>
        <v>4000</v>
      </c>
      <c r="L26" s="0" t="n">
        <f aca="false">ROUND(F26*2^$K$2,0)</f>
        <v>4241</v>
      </c>
      <c r="N26" s="48" t="n">
        <f aca="false">J26/2^15</f>
        <v>0.125701904296875</v>
      </c>
      <c r="O26" s="48" t="n">
        <f aca="false">K26/2^15</f>
        <v>0.1220703125</v>
      </c>
      <c r="P26" s="48" t="n">
        <f aca="false">L26/2^15</f>
        <v>0.129425048828125</v>
      </c>
      <c r="Q26" s="48"/>
      <c r="R26" s="48" t="n">
        <f aca="false">N26/($R$42*N26^4+$R$43*N26^3+$R$44*N26^2+$R$45*N26+$R$46)*2^14</f>
        <v>0.516509712625007</v>
      </c>
      <c r="S26" s="48" t="n">
        <f aca="false">O26/($R$42*O26^4+$R$43*O26^3+$R$44*O26^2+$R$45*O26+$R$46)*2^14</f>
        <v>0.512974690201666</v>
      </c>
      <c r="T26" s="48" t="n">
        <f aca="false">P26/($R$42*P26^4+$R$43*P26^3+$R$44*P26^2+$R$45*P26+$R$46)*2^14</f>
        <v>0.520025326380588</v>
      </c>
      <c r="V26" s="48" t="n">
        <f aca="false">R26</f>
        <v>0.516509712625007</v>
      </c>
      <c r="W26" s="48" t="n">
        <f aca="false">S26</f>
        <v>0.512974690201666</v>
      </c>
      <c r="X26" s="48" t="n">
        <f aca="false">T26</f>
        <v>0.520025326380588</v>
      </c>
      <c r="Z26" s="0" t="n">
        <f aca="false">$Z$43*V26^3+$Z$44*V26^2+$Z$45*V26+$Z$46</f>
        <v>3383.21812495462</v>
      </c>
      <c r="AA26" s="0" t="n">
        <f aca="false">$Z$43*W26^3+$Z$44*W26^2+$Z$45*W26+$Z$46</f>
        <v>3394.03852723511</v>
      </c>
      <c r="AB26" s="0" t="n">
        <f aca="false">$Z$43*X26^3+$Z$44*X26^2+$Z$45*X26+$Z$46</f>
        <v>3372.45681068483</v>
      </c>
      <c r="AC26" s="48"/>
      <c r="AD26" s="49" t="n">
        <f aca="false">ROUND(Z26/10-273.15,1)</f>
        <v>65.2</v>
      </c>
      <c r="AE26" s="49" t="n">
        <f aca="false">ROUND(AA26/10-273.15,1)</f>
        <v>66.3</v>
      </c>
      <c r="AF26" s="49" t="n">
        <f aca="false">ROUND(AB26/10-273.15,1)</f>
        <v>64.1</v>
      </c>
      <c r="AG26" s="50"/>
      <c r="AH26" s="49" t="n">
        <f aca="false">AD26-$C26</f>
        <v>0.200000000000003</v>
      </c>
      <c r="AI26" s="49" t="n">
        <f aca="false">AE26-$C26</f>
        <v>1.3</v>
      </c>
      <c r="AJ26" s="49" t="n">
        <f aca="false">AF26-$C26</f>
        <v>-0.900000000000006</v>
      </c>
      <c r="AK26" s="48" t="n">
        <f aca="false">MINA(AI26:AJ26)</f>
        <v>-0.900000000000006</v>
      </c>
      <c r="AL26" s="48" t="n">
        <f aca="false">MAX(AI26:AJ26)</f>
        <v>1.3</v>
      </c>
      <c r="AN26" s="48" t="n">
        <f aca="false">AD26-($AD$18-$B$5)</f>
        <v>65.3</v>
      </c>
      <c r="AO26" s="48" t="n">
        <f aca="false">AE26-($AE$18-$B$5)</f>
        <v>65.8</v>
      </c>
      <c r="AP26" s="48" t="n">
        <f aca="false">AF26-($AF$18-$B$5)</f>
        <v>64.7</v>
      </c>
      <c r="AQ26" s="48"/>
      <c r="AR26" s="49" t="n">
        <f aca="false">AN26-$C26</f>
        <v>0.300000000000011</v>
      </c>
      <c r="AS26" s="49" t="n">
        <f aca="false">AO26-$C26</f>
        <v>0.799999999999997</v>
      </c>
      <c r="AT26" s="49" t="n">
        <f aca="false">AP26-$C26</f>
        <v>-0.300000000000011</v>
      </c>
      <c r="AU26" s="48" t="n">
        <f aca="false">MINA(AS26:AT26)</f>
        <v>-0.300000000000011</v>
      </c>
      <c r="AV26" s="48" t="n">
        <f aca="false">MAX(AS26:AT26)</f>
        <v>0.799999999999997</v>
      </c>
      <c r="AW26" s="48"/>
      <c r="AX26" s="48"/>
    </row>
    <row r="27" customFormat="false" ht="12.75" hidden="false" customHeight="false" outlineLevel="0" collapsed="false">
      <c r="C27" s="26" t="n">
        <f aca="false">Accuracy!F26</f>
        <v>70</v>
      </c>
      <c r="D27" s="26" t="n">
        <f aca="false">'Resistor Network'!AB27</f>
        <v>0.110144354360293</v>
      </c>
      <c r="E27" s="26" t="n">
        <f aca="false">'Resistor Network'!AC27</f>
        <v>0.106758957406836</v>
      </c>
      <c r="F27" s="26" t="n">
        <f aca="false">'Resistor Network'!AD27</f>
        <v>0.113623448777597</v>
      </c>
      <c r="G27" s="35"/>
      <c r="H27" s="35"/>
      <c r="J27" s="0" t="n">
        <f aca="false">ROUND(D27*2^$K$2,0)</f>
        <v>3609</v>
      </c>
      <c r="K27" s="0" t="n">
        <f aca="false">ROUND(E27*2^$K$2,0)</f>
        <v>3498</v>
      </c>
      <c r="L27" s="0" t="n">
        <f aca="false">ROUND(F27*2^$K$2,0)</f>
        <v>3723</v>
      </c>
      <c r="N27" s="48" t="n">
        <f aca="false">J27/2^15</f>
        <v>0.110137939453125</v>
      </c>
      <c r="O27" s="48" t="n">
        <f aca="false">K27/2^15</f>
        <v>0.10675048828125</v>
      </c>
      <c r="P27" s="48" t="n">
        <f aca="false">L27/2^15</f>
        <v>0.113616943359375</v>
      </c>
      <c r="Q27" s="48"/>
      <c r="R27" s="48" t="n">
        <f aca="false">N27/($R$42*N27^4+$R$43*N27^3+$R$44*N27^2+$R$45*N27+$R$46)*2^14</f>
        <v>0.500522823318139</v>
      </c>
      <c r="S27" s="48" t="n">
        <f aca="false">O27/($R$42*O27^4+$R$43*O27^3+$R$44*O27^2+$R$45*O27+$R$46)*2^14</f>
        <v>0.496721529038574</v>
      </c>
      <c r="T27" s="48" t="n">
        <f aca="false">P27/($R$42*P27^4+$R$43*P27^3+$R$44*P27^2+$R$45*P27+$R$46)*2^14</f>
        <v>0.504296965365754</v>
      </c>
      <c r="V27" s="48" t="n">
        <f aca="false">R27</f>
        <v>0.500522823318139</v>
      </c>
      <c r="W27" s="48" t="n">
        <f aca="false">S27</f>
        <v>0.496721529038574</v>
      </c>
      <c r="X27" s="48" t="n">
        <f aca="false">T27</f>
        <v>0.504296965365754</v>
      </c>
      <c r="Z27" s="0" t="n">
        <f aca="false">$Z$43*V27^3+$Z$44*V27^2+$Z$45*V27+$Z$46</f>
        <v>3432.14989514068</v>
      </c>
      <c r="AA27" s="0" t="n">
        <f aca="false">$Z$43*W27^3+$Z$44*W27^2+$Z$45*W27+$Z$46</f>
        <v>3443.78359767186</v>
      </c>
      <c r="AB27" s="0" t="n">
        <f aca="false">$Z$43*X27^3+$Z$44*X27^2+$Z$45*X27+$Z$46</f>
        <v>3420.59886387167</v>
      </c>
      <c r="AC27" s="48"/>
      <c r="AD27" s="49" t="n">
        <f aca="false">ROUND(Z27/10-273.15,1)</f>
        <v>70.1</v>
      </c>
      <c r="AE27" s="49" t="n">
        <f aca="false">ROUND(AA27/10-273.15,1)</f>
        <v>71.2</v>
      </c>
      <c r="AF27" s="49" t="n">
        <f aca="false">ROUND(AB27/10-273.15,1)</f>
        <v>68.9</v>
      </c>
      <c r="AG27" s="50"/>
      <c r="AH27" s="49" t="n">
        <f aca="false">AD27-$C27</f>
        <v>0.0999999999999943</v>
      </c>
      <c r="AI27" s="49" t="n">
        <f aca="false">AE27-$C27</f>
        <v>1.2</v>
      </c>
      <c r="AJ27" s="49" t="n">
        <f aca="false">AF27-$C27</f>
        <v>-1.09999999999999</v>
      </c>
      <c r="AK27" s="48" t="n">
        <f aca="false">MINA(AI27:AJ27)</f>
        <v>-1.09999999999999</v>
      </c>
      <c r="AL27" s="48" t="n">
        <f aca="false">MAX(AI27:AJ27)</f>
        <v>1.2</v>
      </c>
      <c r="AN27" s="48" t="n">
        <f aca="false">AD27-($AD$18-$B$5)</f>
        <v>70.2</v>
      </c>
      <c r="AO27" s="48" t="n">
        <f aca="false">AE27-($AE$18-$B$5)</f>
        <v>70.7</v>
      </c>
      <c r="AP27" s="48" t="n">
        <f aca="false">AF27-($AF$18-$B$5)</f>
        <v>69.5</v>
      </c>
      <c r="AQ27" s="48"/>
      <c r="AR27" s="49" t="n">
        <f aca="false">AN27-$C27</f>
        <v>0.199999999999989</v>
      </c>
      <c r="AS27" s="49" t="n">
        <f aca="false">AO27-$C27</f>
        <v>0.700000000000003</v>
      </c>
      <c r="AT27" s="49" t="n">
        <f aca="false">AP27-$C27</f>
        <v>-0.5</v>
      </c>
      <c r="AU27" s="48" t="n">
        <f aca="false">MINA(AS27:AT27)</f>
        <v>-0.5</v>
      </c>
      <c r="AV27" s="48" t="n">
        <f aca="false">MAX(AS27:AT27)</f>
        <v>0.700000000000003</v>
      </c>
      <c r="AW27" s="48"/>
      <c r="AX27" s="48"/>
    </row>
    <row r="28" customFormat="false" ht="12.75" hidden="false" customHeight="false" outlineLevel="0" collapsed="false">
      <c r="C28" s="26" t="n">
        <f aca="false">Accuracy!F27</f>
        <v>75</v>
      </c>
      <c r="D28" s="26" t="n">
        <f aca="false">'Resistor Network'!AB28</f>
        <v>0.0965669544268219</v>
      </c>
      <c r="E28" s="26" t="n">
        <f aca="false">'Resistor Network'!AC28</f>
        <v>0.0934306686914487</v>
      </c>
      <c r="F28" s="26" t="n">
        <f aca="false">'Resistor Network'!AD28</f>
        <v>0.09979692985146</v>
      </c>
      <c r="G28" s="35"/>
      <c r="H28" s="35"/>
      <c r="J28" s="0" t="n">
        <f aca="false">ROUND(D28*2^$K$2,0)</f>
        <v>3164</v>
      </c>
      <c r="K28" s="0" t="n">
        <f aca="false">ROUND(E28*2^$K$2,0)</f>
        <v>3062</v>
      </c>
      <c r="L28" s="0" t="n">
        <f aca="false">ROUND(F28*2^$K$2,0)</f>
        <v>3270</v>
      </c>
      <c r="N28" s="48" t="n">
        <f aca="false">J28/2^15</f>
        <v>0.0965576171875</v>
      </c>
      <c r="O28" s="48" t="n">
        <f aca="false">K28/2^15</f>
        <v>0.09344482421875</v>
      </c>
      <c r="P28" s="48" t="n">
        <f aca="false">L28/2^15</f>
        <v>0.09979248046875</v>
      </c>
      <c r="Q28" s="48"/>
      <c r="R28" s="48" t="n">
        <f aca="false">N28/($R$42*N28^4+$R$43*N28^3+$R$44*N28^2+$R$45*N28+$R$46)*2^14</f>
        <v>0.484427341118552</v>
      </c>
      <c r="S28" s="48" t="n">
        <f aca="false">O28/($R$42*O28^4+$R$43*O28^3+$R$44*O28^2+$R$45*O28+$R$46)*2^14</f>
        <v>0.480381117216879</v>
      </c>
      <c r="T28" s="48" t="n">
        <f aca="false">P28/($R$42*P28^4+$R$43*P28^3+$R$44*P28^2+$R$45*P28+$R$46)*2^14</f>
        <v>0.488479643652338</v>
      </c>
      <c r="V28" s="48" t="n">
        <f aca="false">R28</f>
        <v>0.484427341118552</v>
      </c>
      <c r="W28" s="48" t="n">
        <f aca="false">S28</f>
        <v>0.480381117216879</v>
      </c>
      <c r="X28" s="48" t="n">
        <f aca="false">T28</f>
        <v>0.488479643652338</v>
      </c>
      <c r="Z28" s="0" t="n">
        <f aca="false">$Z$43*V28^3+$Z$44*V28^2+$Z$45*V28+$Z$46</f>
        <v>3481.40632627853</v>
      </c>
      <c r="AA28" s="0" t="n">
        <f aca="false">$Z$43*W28^3+$Z$44*W28^2+$Z$45*W28+$Z$46</f>
        <v>3493.78750009392</v>
      </c>
      <c r="AB28" s="0" t="n">
        <f aca="false">$Z$43*X28^3+$Z$44*X28^2+$Z$45*X28+$Z$46</f>
        <v>3469.0059956063</v>
      </c>
      <c r="AC28" s="48"/>
      <c r="AD28" s="49" t="n">
        <f aca="false">ROUND(Z28/10-273.15,1)</f>
        <v>75</v>
      </c>
      <c r="AE28" s="49" t="n">
        <f aca="false">ROUND(AA28/10-273.15,1)</f>
        <v>76.2</v>
      </c>
      <c r="AF28" s="49" t="n">
        <f aca="false">ROUND(AB28/10-273.15,1)</f>
        <v>73.8</v>
      </c>
      <c r="AG28" s="50"/>
      <c r="AH28" s="49" t="n">
        <f aca="false">AD28-$C28</f>
        <v>0</v>
      </c>
      <c r="AI28" s="49" t="n">
        <f aca="false">AE28-$C28</f>
        <v>1.2</v>
      </c>
      <c r="AJ28" s="49" t="n">
        <f aca="false">AF28-$C28</f>
        <v>-1.2</v>
      </c>
      <c r="AK28" s="48" t="n">
        <f aca="false">MINA(AI28:AJ28)</f>
        <v>-1.2</v>
      </c>
      <c r="AL28" s="48" t="n">
        <f aca="false">MAX(AI28:AJ28)</f>
        <v>1.2</v>
      </c>
      <c r="AN28" s="48" t="n">
        <f aca="false">AD28-($AD$18-$B$5)</f>
        <v>75.1</v>
      </c>
      <c r="AO28" s="48" t="n">
        <f aca="false">AE28-($AE$18-$B$5)</f>
        <v>75.7</v>
      </c>
      <c r="AP28" s="48" t="n">
        <f aca="false">AF28-($AF$18-$B$5)</f>
        <v>74.4</v>
      </c>
      <c r="AQ28" s="48"/>
      <c r="AR28" s="49" t="n">
        <f aca="false">AN28-$C28</f>
        <v>0.0999999999999943</v>
      </c>
      <c r="AS28" s="49" t="n">
        <f aca="false">AO28-$C28</f>
        <v>0.700000000000003</v>
      </c>
      <c r="AT28" s="49" t="n">
        <f aca="false">AP28-$C28</f>
        <v>-0.599999999999994</v>
      </c>
      <c r="AU28" s="48" t="n">
        <f aca="false">MINA(AS28:AT28)</f>
        <v>-0.599999999999994</v>
      </c>
      <c r="AV28" s="48" t="n">
        <f aca="false">MAX(AS28:AT28)</f>
        <v>0.700000000000003</v>
      </c>
      <c r="AW28" s="48"/>
      <c r="AX28" s="48"/>
    </row>
    <row r="29" customFormat="false" ht="12.75" hidden="false" customHeight="false" outlineLevel="0" collapsed="false">
      <c r="C29" s="26" t="n">
        <f aca="false">Accuracy!F28</f>
        <v>80</v>
      </c>
      <c r="D29" s="26" t="n">
        <f aca="false">'Resistor Network'!AB29</f>
        <v>0.0848078096400244</v>
      </c>
      <c r="E29" s="26" t="n">
        <f aca="false">'Resistor Network'!AC29</f>
        <v>0.0819113252685756</v>
      </c>
      <c r="F29" s="26" t="n">
        <f aca="false">'Resistor Network'!AD29</f>
        <v>0.0877969224877893</v>
      </c>
      <c r="G29" s="35"/>
      <c r="H29" s="35"/>
      <c r="J29" s="0" t="n">
        <f aca="false">ROUND(D29*2^$K$2,0)</f>
        <v>2779</v>
      </c>
      <c r="K29" s="0" t="n">
        <f aca="false">ROUND(E29*2^$K$2,0)</f>
        <v>2684</v>
      </c>
      <c r="L29" s="0" t="n">
        <f aca="false">ROUND(F29*2^$K$2,0)</f>
        <v>2877</v>
      </c>
      <c r="N29" s="48" t="n">
        <f aca="false">J29/2^15</f>
        <v>0.084808349609375</v>
      </c>
      <c r="O29" s="48" t="n">
        <f aca="false">K29/2^15</f>
        <v>0.0819091796875</v>
      </c>
      <c r="P29" s="48" t="n">
        <f aca="false">L29/2^15</f>
        <v>0.087799072265625</v>
      </c>
      <c r="Q29" s="48"/>
      <c r="R29" s="48" t="n">
        <f aca="false">N29/($R$42*N29^4+$R$43*N29^3+$R$44*N29^2+$R$45*N29+$R$46)*2^14</f>
        <v>0.468298447997675</v>
      </c>
      <c r="S29" s="48" t="n">
        <f aca="false">O29/($R$42*O29^4+$R$43*O29^3+$R$44*O29^2+$R$45*O29+$R$46)*2^14</f>
        <v>0.463921550225203</v>
      </c>
      <c r="T29" s="48" t="n">
        <f aca="false">P29/($R$42*P29^4+$R$43*P29^3+$R$44*P29^2+$R$45*P29+$R$46)*2^14</f>
        <v>0.472636088904414</v>
      </c>
      <c r="V29" s="48" t="n">
        <f aca="false">R29</f>
        <v>0.468298447997675</v>
      </c>
      <c r="W29" s="48" t="n">
        <f aca="false">S29</f>
        <v>0.463921550225203</v>
      </c>
      <c r="X29" s="48" t="n">
        <f aca="false">T29</f>
        <v>0.472636088904414</v>
      </c>
      <c r="Z29" s="0" t="n">
        <f aca="false">$Z$43*V29^3+$Z$44*V29^2+$Z$45*V29+$Z$46</f>
        <v>3530.75618697006</v>
      </c>
      <c r="AA29" s="0" t="n">
        <f aca="false">$Z$43*W29^3+$Z$44*W29^2+$Z$45*W29+$Z$46</f>
        <v>3544.14659832722</v>
      </c>
      <c r="AB29" s="0" t="n">
        <f aca="false">$Z$43*X29^3+$Z$44*X29^2+$Z$45*X29+$Z$46</f>
        <v>3517.48515758834</v>
      </c>
      <c r="AC29" s="48"/>
      <c r="AD29" s="49" t="n">
        <f aca="false">ROUND(Z29/10-273.15,1)</f>
        <v>79.9</v>
      </c>
      <c r="AE29" s="49" t="n">
        <f aca="false">ROUND(AA29/10-273.15,1)</f>
        <v>81.3</v>
      </c>
      <c r="AF29" s="49" t="n">
        <f aca="false">ROUND(AB29/10-273.15,1)</f>
        <v>78.6</v>
      </c>
      <c r="AG29" s="50"/>
      <c r="AH29" s="49" t="n">
        <f aca="false">AD29-$C29</f>
        <v>-0.0999999999999943</v>
      </c>
      <c r="AI29" s="49" t="n">
        <f aca="false">AE29-$C29</f>
        <v>1.3</v>
      </c>
      <c r="AJ29" s="49" t="n">
        <f aca="false">AF29-$C29</f>
        <v>-1.40000000000001</v>
      </c>
      <c r="AK29" s="48" t="n">
        <f aca="false">MINA(AI29:AJ29)</f>
        <v>-1.40000000000001</v>
      </c>
      <c r="AL29" s="48" t="n">
        <f aca="false">MAX(AI29:AJ29)</f>
        <v>1.3</v>
      </c>
      <c r="AN29" s="48" t="n">
        <f aca="false">AD29-($AD$18-$B$5)</f>
        <v>80</v>
      </c>
      <c r="AO29" s="48" t="n">
        <f aca="false">AE29-($AE$18-$B$5)</f>
        <v>80.8</v>
      </c>
      <c r="AP29" s="48" t="n">
        <f aca="false">AF29-($AF$18-$B$5)</f>
        <v>79.2</v>
      </c>
      <c r="AQ29" s="48"/>
      <c r="AR29" s="49" t="n">
        <f aca="false">AN29-$C29</f>
        <v>0</v>
      </c>
      <c r="AS29" s="49" t="n">
        <f aca="false">AO29-$C29</f>
        <v>0.799999999999997</v>
      </c>
      <c r="AT29" s="49" t="n">
        <f aca="false">AP29-$C29</f>
        <v>-0.800000000000011</v>
      </c>
      <c r="AU29" s="48" t="n">
        <f aca="false">MINA(AS29:AT29)</f>
        <v>-0.800000000000011</v>
      </c>
      <c r="AV29" s="48" t="n">
        <f aca="false">MAX(AS29:AT29)</f>
        <v>0.799999999999997</v>
      </c>
      <c r="AW29" s="48"/>
      <c r="AX29" s="48"/>
    </row>
    <row r="30" customFormat="false" ht="12.75" hidden="false" customHeight="false" outlineLevel="0" collapsed="false">
      <c r="C30" s="26" t="n">
        <f aca="false">Accuracy!F29</f>
        <v>85</v>
      </c>
      <c r="D30" s="26" t="n">
        <f aca="false">'Resistor Network'!AB30</f>
        <v>0.0745977070587631</v>
      </c>
      <c r="E30" s="26" t="n">
        <f aca="false">'Resistor Network'!AC30</f>
        <v>0.0719293968748749</v>
      </c>
      <c r="F30" s="26" t="n">
        <f aca="false">'Resistor Network'!AD30</f>
        <v>0.077356750958425</v>
      </c>
      <c r="G30" s="35"/>
      <c r="H30" s="35"/>
      <c r="J30" s="0" t="n">
        <f aca="false">ROUND(D30*2^$K$2,0)</f>
        <v>2444</v>
      </c>
      <c r="K30" s="0" t="n">
        <f aca="false">ROUND(E30*2^$K$2,0)</f>
        <v>2357</v>
      </c>
      <c r="L30" s="0" t="n">
        <f aca="false">ROUND(F30*2^$K$2,0)</f>
        <v>2535</v>
      </c>
      <c r="N30" s="48" t="n">
        <f aca="false">J30/2^15</f>
        <v>0.0745849609375</v>
      </c>
      <c r="O30" s="48" t="n">
        <f aca="false">K30/2^15</f>
        <v>0.071929931640625</v>
      </c>
      <c r="P30" s="48" t="n">
        <f aca="false">L30/2^15</f>
        <v>0.077362060546875</v>
      </c>
      <c r="Q30" s="48"/>
      <c r="R30" s="48" t="n">
        <f aca="false">N30/($R$42*N30^4+$R$43*N30^3+$R$44*N30^2+$R$45*N30+$R$46)*2^14</f>
        <v>0.452009046985013</v>
      </c>
      <c r="S30" s="48" t="n">
        <f aca="false">O30/($R$42*O30^4+$R$43*O30^3+$R$44*O30^2+$R$45*O30+$R$46)*2^14</f>
        <v>0.447347629691243</v>
      </c>
      <c r="T30" s="48" t="n">
        <f aca="false">P30/($R$42*P30^4+$R$43*P30^3+$R$44*P30^2+$R$45*P30+$R$46)*2^14</f>
        <v>0.456680645079716</v>
      </c>
      <c r="V30" s="48" t="n">
        <f aca="false">R30</f>
        <v>0.452009046985013</v>
      </c>
      <c r="W30" s="48" t="n">
        <f aca="false">S30</f>
        <v>0.447347629691243</v>
      </c>
      <c r="X30" s="48" t="n">
        <f aca="false">T30</f>
        <v>0.456680645079716</v>
      </c>
      <c r="Z30" s="0" t="n">
        <f aca="false">$Z$43*V30^3+$Z$44*V30^2+$Z$45*V30+$Z$46</f>
        <v>3580.58712249068</v>
      </c>
      <c r="AA30" s="0" t="n">
        <f aca="false">$Z$43*W30^3+$Z$44*W30^2+$Z$45*W30+$Z$46</f>
        <v>3594.84486464718</v>
      </c>
      <c r="AB30" s="0" t="n">
        <f aca="false">$Z$43*X30^3+$Z$44*X30^2+$Z$45*X30+$Z$46</f>
        <v>3566.29732298654</v>
      </c>
      <c r="AC30" s="48"/>
      <c r="AD30" s="49" t="n">
        <f aca="false">ROUND(Z30/10-273.15,1)</f>
        <v>84.9</v>
      </c>
      <c r="AE30" s="49" t="n">
        <f aca="false">ROUND(AA30/10-273.15,1)</f>
        <v>86.3</v>
      </c>
      <c r="AF30" s="49" t="n">
        <f aca="false">ROUND(AB30/10-273.15,1)</f>
        <v>83.5</v>
      </c>
      <c r="AG30" s="50"/>
      <c r="AH30" s="49" t="n">
        <f aca="false">AD30-$C30</f>
        <v>-0.0999999999999943</v>
      </c>
      <c r="AI30" s="49" t="n">
        <f aca="false">AE30-$C30</f>
        <v>1.3</v>
      </c>
      <c r="AJ30" s="49" t="n">
        <f aca="false">AF30-$C30</f>
        <v>-1.5</v>
      </c>
      <c r="AK30" s="48" t="n">
        <f aca="false">MINA(AI30:AJ30)</f>
        <v>-1.5</v>
      </c>
      <c r="AL30" s="48" t="n">
        <f aca="false">MAX(AI30:AJ30)</f>
        <v>1.3</v>
      </c>
      <c r="AM30" s="3"/>
      <c r="AN30" s="48" t="n">
        <f aca="false">AD30-($AD$18-$B$5)</f>
        <v>85</v>
      </c>
      <c r="AO30" s="48" t="n">
        <f aca="false">AE30-($AE$18-$B$5)</f>
        <v>85.8</v>
      </c>
      <c r="AP30" s="48" t="n">
        <f aca="false">AF30-($AF$18-$B$5)</f>
        <v>84.1</v>
      </c>
      <c r="AQ30" s="63"/>
      <c r="AR30" s="49" t="n">
        <f aca="false">AN30-$C30</f>
        <v>0</v>
      </c>
      <c r="AS30" s="49" t="n">
        <f aca="false">AO30-$C30</f>
        <v>0.799999999999997</v>
      </c>
      <c r="AT30" s="49" t="n">
        <f aca="false">AP30-$C30</f>
        <v>-0.900000000000006</v>
      </c>
      <c r="AU30" s="48" t="n">
        <f aca="false">MINA(AS30:AT30)</f>
        <v>-0.900000000000006</v>
      </c>
      <c r="AV30" s="48" t="n">
        <f aca="false">MAX(AS30:AT30)</f>
        <v>0.799999999999997</v>
      </c>
      <c r="AW30" s="48"/>
      <c r="AX30" s="48"/>
    </row>
    <row r="31" customFormat="false" ht="12.75" hidden="false" customHeight="false" outlineLevel="0" collapsed="false">
      <c r="C31" s="26" t="n">
        <f aca="false">Accuracy!F30</f>
        <v>90</v>
      </c>
      <c r="D31" s="26" t="n">
        <f aca="false">'Resistor Network'!AB31</f>
        <v>0.0657116163189038</v>
      </c>
      <c r="E31" s="26" t="n">
        <f aca="false">'Resistor Network'!AC31</f>
        <v>0.0632585313589173</v>
      </c>
      <c r="F31" s="26" t="n">
        <f aca="false">'Resistor Network'!AD31</f>
        <v>0.0682528975930792</v>
      </c>
      <c r="G31" s="35"/>
      <c r="H31" s="35"/>
      <c r="J31" s="0" t="n">
        <f aca="false">ROUND(D31*2^$K$2,0)</f>
        <v>2153</v>
      </c>
      <c r="K31" s="0" t="n">
        <f aca="false">ROUND(E31*2^$K$2,0)</f>
        <v>2073</v>
      </c>
      <c r="L31" s="0" t="n">
        <f aca="false">ROUND(F31*2^$K$2,0)</f>
        <v>2237</v>
      </c>
      <c r="N31" s="48" t="n">
        <f aca="false">J31/2^15</f>
        <v>0.065704345703125</v>
      </c>
      <c r="O31" s="48" t="n">
        <f aca="false">K31/2^15</f>
        <v>0.063262939453125</v>
      </c>
      <c r="P31" s="48" t="n">
        <f aca="false">L31/2^15</f>
        <v>0.068267822265625</v>
      </c>
      <c r="Q31" s="48"/>
      <c r="R31" s="48" t="n">
        <f aca="false">N31/($R$42*N31^4+$R$43*N31^3+$R$44*N31^2+$R$45*N31+$R$46)*2^14</f>
        <v>0.435571705186514</v>
      </c>
      <c r="S31" s="48" t="n">
        <f aca="false">O31/($R$42*O31^4+$R$43*O31^3+$R$44*O31^2+$R$45*O31+$R$46)*2^14</f>
        <v>0.430587775534421</v>
      </c>
      <c r="T31" s="48" t="n">
        <f aca="false">P31/($R$42*P31^4+$R$43*P31^3+$R$44*P31^2+$R$45*P31+$R$46)*2^14</f>
        <v>0.440574095492034</v>
      </c>
      <c r="V31" s="48" t="n">
        <f aca="false">R31</f>
        <v>0.435571705186514</v>
      </c>
      <c r="W31" s="48" t="n">
        <f aca="false">S31</f>
        <v>0.430587775534421</v>
      </c>
      <c r="X31" s="48" t="n">
        <f aca="false">T31</f>
        <v>0.440574095492034</v>
      </c>
      <c r="Z31" s="0" t="n">
        <f aca="false">$Z$43*V31^3+$Z$44*V31^2+$Z$45*V31+$Z$46</f>
        <v>3630.85929862731</v>
      </c>
      <c r="AA31" s="0" t="n">
        <f aca="false">$Z$43*W31^3+$Z$44*W31^2+$Z$45*W31+$Z$46</f>
        <v>3646.09979597733</v>
      </c>
      <c r="AB31" s="0" t="n">
        <f aca="false">$Z$43*X31^3+$Z$44*X31^2+$Z$45*X31+$Z$46</f>
        <v>3615.56119510073</v>
      </c>
      <c r="AC31" s="48"/>
      <c r="AD31" s="49" t="n">
        <f aca="false">ROUND(Z31/10-273.15,1)</f>
        <v>89.9</v>
      </c>
      <c r="AE31" s="49" t="n">
        <f aca="false">ROUND(AA31/10-273.15,1)</f>
        <v>91.5</v>
      </c>
      <c r="AF31" s="49" t="n">
        <f aca="false">ROUND(AB31/10-273.15,1)</f>
        <v>88.4</v>
      </c>
      <c r="AG31" s="50"/>
      <c r="AH31" s="49" t="n">
        <f aca="false">AD31-$C31</f>
        <v>-0.0999999999999943</v>
      </c>
      <c r="AI31" s="49" t="n">
        <f aca="false">AE31-$C31</f>
        <v>1.5</v>
      </c>
      <c r="AJ31" s="49" t="n">
        <f aca="false">AF31-$C31</f>
        <v>-1.59999999999999</v>
      </c>
      <c r="AK31" s="48" t="n">
        <f aca="false">MINA(AI31:AJ31)</f>
        <v>-1.59999999999999</v>
      </c>
      <c r="AL31" s="48" t="n">
        <f aca="false">MAX(AI31:AJ31)</f>
        <v>1.5</v>
      </c>
      <c r="AM31" s="3"/>
      <c r="AN31" s="48" t="n">
        <f aca="false">AD31-($AD$18-$B$5)</f>
        <v>90</v>
      </c>
      <c r="AO31" s="48" t="n">
        <f aca="false">AE31-($AE$18-$B$5)</f>
        <v>91</v>
      </c>
      <c r="AP31" s="48" t="n">
        <f aca="false">AF31-($AF$18-$B$5)</f>
        <v>89</v>
      </c>
      <c r="AQ31" s="63"/>
      <c r="AR31" s="49" t="n">
        <f aca="false">AN31-$C31</f>
        <v>0</v>
      </c>
      <c r="AS31" s="49" t="n">
        <f aca="false">AO31-$C31</f>
        <v>1</v>
      </c>
      <c r="AT31" s="49" t="n">
        <f aca="false">AP31-$C31</f>
        <v>-1</v>
      </c>
      <c r="AU31" s="48" t="n">
        <f aca="false">MINA(AS31:AT31)</f>
        <v>-1</v>
      </c>
      <c r="AV31" s="48" t="n">
        <f aca="false">MAX(AS31:AT31)</f>
        <v>1</v>
      </c>
      <c r="AW31" s="48"/>
      <c r="AX31" s="48"/>
    </row>
    <row r="32" customFormat="false" ht="12.75" hidden="false" customHeight="false" outlineLevel="0" collapsed="false">
      <c r="C32" s="26" t="n">
        <f aca="false">Accuracy!F31</f>
        <v>95</v>
      </c>
      <c r="D32" s="26" t="n">
        <f aca="false">'Resistor Network'!AB32</f>
        <v>0.0579861837973624</v>
      </c>
      <c r="E32" s="26" t="n">
        <f aca="false">'Resistor Network'!AC32</f>
        <v>0.0557340742659825</v>
      </c>
      <c r="F32" s="26" t="n">
        <f aca="false">'Resistor Network'!AD32</f>
        <v>0.0603234831866922</v>
      </c>
      <c r="G32" s="35"/>
      <c r="H32" s="35"/>
      <c r="J32" s="0" t="n">
        <f aca="false">ROUND(D32*2^$K$2,0)</f>
        <v>1900</v>
      </c>
      <c r="K32" s="0" t="n">
        <f aca="false">ROUND(E32*2^$K$2,0)</f>
        <v>1826</v>
      </c>
      <c r="L32" s="0" t="n">
        <f aca="false">ROUND(F32*2^$K$2,0)</f>
        <v>1977</v>
      </c>
      <c r="N32" s="48" t="n">
        <f aca="false">J32/2^15</f>
        <v>0.0579833984375</v>
      </c>
      <c r="O32" s="48" t="n">
        <f aca="false">K32/2^15</f>
        <v>0.05572509765625</v>
      </c>
      <c r="P32" s="48" t="n">
        <f aca="false">L32/2^15</f>
        <v>0.060333251953125</v>
      </c>
      <c r="Q32" s="48"/>
      <c r="R32" s="48" t="n">
        <f aca="false">N32/($R$42*N32^4+$R$43*N32^3+$R$44*N32^2+$R$45*N32+$R$46)*2^14</f>
        <v>0.418984081380532</v>
      </c>
      <c r="S32" s="48" t="n">
        <f aca="false">O32/($R$42*O32^4+$R$43*O32^3+$R$44*O32^2+$R$45*O32+$R$46)*2^14</f>
        <v>0.413632053655214</v>
      </c>
      <c r="T32" s="48" t="n">
        <f aca="false">P32/($R$42*P32^4+$R$43*P32^3+$R$44*P32^2+$R$45*P32+$R$46)*2^14</f>
        <v>0.424297199980754</v>
      </c>
      <c r="V32" s="48" t="n">
        <f aca="false">R32</f>
        <v>0.418984081380532</v>
      </c>
      <c r="W32" s="48" t="n">
        <f aca="false">S32</f>
        <v>0.413632053655214</v>
      </c>
      <c r="X32" s="48" t="n">
        <f aca="false">T32</f>
        <v>0.424297199980754</v>
      </c>
      <c r="Z32" s="0" t="n">
        <f aca="false">$Z$43*V32^3+$Z$44*V32^2+$Z$45*V32+$Z$46</f>
        <v>3681.57843156455</v>
      </c>
      <c r="AA32" s="0" t="n">
        <f aca="false">$Z$43*W32^3+$Z$44*W32^2+$Z$45*W32+$Z$46</f>
        <v>3697.94014974704</v>
      </c>
      <c r="AB32" s="0" t="n">
        <f aca="false">$Z$43*X32^3+$Z$44*X32^2+$Z$45*X32+$Z$46</f>
        <v>3665.33423420823</v>
      </c>
      <c r="AC32" s="48"/>
      <c r="AD32" s="49" t="n">
        <f aca="false">ROUND(Z32/10-273.15,1)</f>
        <v>95</v>
      </c>
      <c r="AE32" s="49" t="n">
        <f aca="false">ROUND(AA32/10-273.15,1)</f>
        <v>96.6</v>
      </c>
      <c r="AF32" s="49" t="n">
        <f aca="false">ROUND(AB32/10-273.15,1)</f>
        <v>93.4</v>
      </c>
      <c r="AG32" s="50"/>
      <c r="AH32" s="49" t="n">
        <f aca="false">AD32-$C32</f>
        <v>0</v>
      </c>
      <c r="AI32" s="49" t="n">
        <f aca="false">AE32-$C32</f>
        <v>1.59999999999999</v>
      </c>
      <c r="AJ32" s="49" t="n">
        <f aca="false">AF32-$C32</f>
        <v>-1.59999999999999</v>
      </c>
      <c r="AK32" s="48" t="n">
        <f aca="false">MINA(AI32:AJ32)</f>
        <v>-1.59999999999999</v>
      </c>
      <c r="AL32" s="48" t="n">
        <f aca="false">MAX(AI32:AJ32)</f>
        <v>1.59999999999999</v>
      </c>
      <c r="AM32" s="3"/>
      <c r="AN32" s="48" t="n">
        <f aca="false">AD32-($AD$18-$B$5)</f>
        <v>95.1</v>
      </c>
      <c r="AO32" s="48" t="n">
        <f aca="false">AE32-($AE$18-$B$5)</f>
        <v>96.1</v>
      </c>
      <c r="AP32" s="48" t="n">
        <f aca="false">AF32-($AF$18-$B$5)</f>
        <v>94</v>
      </c>
      <c r="AQ32" s="63"/>
      <c r="AR32" s="49" t="n">
        <f aca="false">AN32-$C32</f>
        <v>0.0999999999999943</v>
      </c>
      <c r="AS32" s="49" t="n">
        <f aca="false">AO32-$C32</f>
        <v>1.09999999999999</v>
      </c>
      <c r="AT32" s="49" t="n">
        <f aca="false">AP32-$C32</f>
        <v>-1</v>
      </c>
      <c r="AU32" s="48" t="n">
        <f aca="false">MINA(AS32:AT32)</f>
        <v>-1</v>
      </c>
      <c r="AV32" s="48" t="n">
        <f aca="false">MAX(AS32:AT32)</f>
        <v>1.09999999999999</v>
      </c>
      <c r="AW32" s="48"/>
      <c r="AX32" s="48"/>
    </row>
    <row r="33" customFormat="false" ht="12.75" hidden="false" customHeight="false" outlineLevel="0" collapsed="false">
      <c r="C33" s="26" t="n">
        <f aca="false">Accuracy!F32</f>
        <v>100</v>
      </c>
      <c r="D33" s="26" t="n">
        <f aca="false">'Resistor Network'!AB33</f>
        <v>0.0512884030548514</v>
      </c>
      <c r="E33" s="26" t="n">
        <f aca="false">'Resistor Network'!AC33</f>
        <v>0.0492220248889424</v>
      </c>
      <c r="F33" s="26" t="n">
        <f aca="false">'Resistor Network'!AD33</f>
        <v>0.0534366538404951</v>
      </c>
      <c r="G33" s="35"/>
      <c r="H33" s="35"/>
      <c r="J33" s="0" t="n">
        <f aca="false">ROUND(D33*2^$K$2,0)</f>
        <v>1681</v>
      </c>
      <c r="K33" s="0" t="n">
        <f aca="false">ROUND(E33*2^$K$2,0)</f>
        <v>1613</v>
      </c>
      <c r="L33" s="0" t="n">
        <f aca="false">ROUND(F33*2^$K$2,0)</f>
        <v>1751</v>
      </c>
      <c r="N33" s="48" t="n">
        <f aca="false">J33/2^15</f>
        <v>0.051300048828125</v>
      </c>
      <c r="O33" s="48" t="n">
        <f aca="false">K33/2^15</f>
        <v>0.049224853515625</v>
      </c>
      <c r="P33" s="48" t="n">
        <f aca="false">L33/2^15</f>
        <v>0.053436279296875</v>
      </c>
      <c r="Q33" s="48"/>
      <c r="R33" s="48" t="n">
        <f aca="false">N33/($R$42*N33^4+$R$43*N33^3+$R$44*N33^2+$R$45*N33+$R$46)*2^14</f>
        <v>0.402361047487126</v>
      </c>
      <c r="S33" s="48" t="n">
        <f aca="false">O33/($R$42*O33^4+$R$43*O33^3+$R$44*O33^2+$R$45*O33+$R$46)*2^14</f>
        <v>0.396674300569074</v>
      </c>
      <c r="T33" s="48" t="n">
        <f aca="false">P33/($R$42*P33^4+$R$43*P33^3+$R$44*P33^2+$R$45*P33+$R$46)*2^14</f>
        <v>0.407939553099476</v>
      </c>
      <c r="V33" s="48" t="n">
        <f aca="false">R33</f>
        <v>0.402361047487126</v>
      </c>
      <c r="W33" s="48" t="n">
        <f aca="false">S33</f>
        <v>0.396674300569074</v>
      </c>
      <c r="X33" s="48" t="n">
        <f aca="false">T33</f>
        <v>0.407939553099476</v>
      </c>
      <c r="Z33" s="0" t="n">
        <f aca="false">$Z$43*V33^3+$Z$44*V33^2+$Z$45*V33+$Z$46</f>
        <v>3732.39191892329</v>
      </c>
      <c r="AA33" s="0" t="n">
        <f aca="false">$Z$43*W33^3+$Z$44*W33^2+$Z$45*W33+$Z$46</f>
        <v>3749.77182882024</v>
      </c>
      <c r="AB33" s="0" t="n">
        <f aca="false">$Z$43*X33^3+$Z$44*X33^2+$Z$45*X33+$Z$46</f>
        <v>3715.34110144799</v>
      </c>
      <c r="AC33" s="48"/>
      <c r="AD33" s="49" t="n">
        <f aca="false">ROUND(Z33/10-273.15,1)</f>
        <v>100.1</v>
      </c>
      <c r="AE33" s="49" t="n">
        <f aca="false">ROUND(AA33/10-273.15,1)</f>
        <v>101.8</v>
      </c>
      <c r="AF33" s="49" t="n">
        <f aca="false">ROUND(AB33/10-273.15,1)</f>
        <v>98.4</v>
      </c>
      <c r="AG33" s="50"/>
      <c r="AH33" s="49" t="n">
        <f aca="false">AD33-$C33</f>
        <v>0.0999999999999943</v>
      </c>
      <c r="AI33" s="49" t="n">
        <f aca="false">AE33-$C33</f>
        <v>1.8</v>
      </c>
      <c r="AJ33" s="49" t="n">
        <f aca="false">AF33-$C33</f>
        <v>-1.59999999999999</v>
      </c>
      <c r="AK33" s="48" t="n">
        <f aca="false">MINA(AI33:AJ33)</f>
        <v>-1.59999999999999</v>
      </c>
      <c r="AL33" s="48" t="n">
        <f aca="false">MAX(AI33:AJ33)</f>
        <v>1.8</v>
      </c>
      <c r="AM33" s="3"/>
      <c r="AN33" s="48" t="n">
        <f aca="false">AD33-($AD$18-$B$5)</f>
        <v>100.2</v>
      </c>
      <c r="AO33" s="48" t="n">
        <f aca="false">AE33-($AE$18-$B$5)</f>
        <v>101.3</v>
      </c>
      <c r="AP33" s="48" t="n">
        <f aca="false">AF33-($AF$18-$B$5)</f>
        <v>99</v>
      </c>
      <c r="AQ33" s="63"/>
      <c r="AR33" s="49" t="n">
        <f aca="false">AN33-$C33</f>
        <v>0.199999999999989</v>
      </c>
      <c r="AS33" s="49" t="n">
        <f aca="false">AO33-$C33</f>
        <v>1.3</v>
      </c>
      <c r="AT33" s="49" t="n">
        <f aca="false">AP33-$C33</f>
        <v>-1</v>
      </c>
      <c r="AU33" s="48" t="n">
        <f aca="false">MINA(AS33:AT33)</f>
        <v>-1</v>
      </c>
      <c r="AV33" s="48" t="n">
        <f aca="false">MAX(AS33:AT33)</f>
        <v>1.3</v>
      </c>
      <c r="AW33" s="48"/>
      <c r="AX33" s="48"/>
    </row>
    <row r="34" customFormat="false" ht="12.75" hidden="false" customHeight="false" outlineLevel="0" collapsed="false">
      <c r="C34" s="26" t="n">
        <f aca="false">Accuracy!F33</f>
        <v>105</v>
      </c>
      <c r="D34" s="26" t="n">
        <f aca="false">'Resistor Network'!AB34</f>
        <v>0.0454574380077636</v>
      </c>
      <c r="E34" s="26" t="n">
        <f aca="false">'Resistor Network'!AC34</f>
        <v>0.0435623177068767</v>
      </c>
      <c r="F34" s="26" t="n">
        <f aca="false">'Resistor Network'!AD34</f>
        <v>0.0474309144476569</v>
      </c>
      <c r="G34" s="35"/>
      <c r="H34" s="35"/>
      <c r="J34" s="0" t="n">
        <f aca="false">ROUND(D34*2^$K$2,0)</f>
        <v>1490</v>
      </c>
      <c r="K34" s="0" t="n">
        <f aca="false">ROUND(E34*2^$K$2,0)</f>
        <v>1427</v>
      </c>
      <c r="L34" s="0" t="n">
        <f aca="false">ROUND(F34*2^$K$2,0)</f>
        <v>1554</v>
      </c>
      <c r="N34" s="48" t="n">
        <f aca="false">J34/2^15</f>
        <v>0.04547119140625</v>
      </c>
      <c r="O34" s="48" t="n">
        <f aca="false">K34/2^15</f>
        <v>0.043548583984375</v>
      </c>
      <c r="P34" s="48" t="n">
        <f aca="false">L34/2^15</f>
        <v>0.04742431640625</v>
      </c>
      <c r="Q34" s="48"/>
      <c r="R34" s="48" t="n">
        <f aca="false">N34/($R$42*N34^4+$R$43*N34^3+$R$44*N34^2+$R$45*N34+$R$46)*2^14</f>
        <v>0.385639696439686</v>
      </c>
      <c r="S34" s="48" t="n">
        <f aca="false">O34/($R$42*O34^4+$R$43*O34^3+$R$44*O34^2+$R$45*O34+$R$46)*2^14</f>
        <v>0.379570887009778</v>
      </c>
      <c r="T34" s="48" t="n">
        <f aca="false">P34/($R$42*P34^4+$R$43*P34^3+$R$44*P34^2+$R$45*P34+$R$46)*2^14</f>
        <v>0.391508199603182</v>
      </c>
      <c r="V34" s="48" t="n">
        <f aca="false">R34</f>
        <v>0.385639696439686</v>
      </c>
      <c r="W34" s="48" t="n">
        <f aca="false">S34</f>
        <v>0.379570887009778</v>
      </c>
      <c r="X34" s="48" t="n">
        <f aca="false">T34</f>
        <v>0.391508199603182</v>
      </c>
      <c r="Z34" s="0" t="n">
        <f aca="false">$Z$43*V34^3+$Z$44*V34^2+$Z$45*V34+$Z$46</f>
        <v>3783.49071815057</v>
      </c>
      <c r="AA34" s="0" t="n">
        <f aca="false">$Z$43*W34^3+$Z$44*W34^2+$Z$45*W34+$Z$46</f>
        <v>3802.03239536765</v>
      </c>
      <c r="AB34" s="0" t="n">
        <f aca="false">$Z$43*X34^3+$Z$44*X34^2+$Z$45*X34+$Z$46</f>
        <v>3765.55896407149</v>
      </c>
      <c r="AC34" s="48"/>
      <c r="AD34" s="49" t="n">
        <f aca="false">ROUND(Z34/10-273.15,1)</f>
        <v>105.2</v>
      </c>
      <c r="AE34" s="49" t="n">
        <f aca="false">ROUND(AA34/10-273.15,1)</f>
        <v>107.1</v>
      </c>
      <c r="AF34" s="49" t="n">
        <f aca="false">ROUND(AB34/10-273.15,1)</f>
        <v>103.4</v>
      </c>
      <c r="AG34" s="50"/>
      <c r="AH34" s="49" t="n">
        <f aca="false">AD34-$C34</f>
        <v>0.200000000000003</v>
      </c>
      <c r="AI34" s="49" t="n">
        <f aca="false">AE34-$C34</f>
        <v>2.09999999999999</v>
      </c>
      <c r="AJ34" s="49" t="n">
        <f aca="false">AF34-$C34</f>
        <v>-1.59999999999999</v>
      </c>
      <c r="AK34" s="48" t="n">
        <f aca="false">MINA(AI34:AJ34)</f>
        <v>-1.59999999999999</v>
      </c>
      <c r="AL34" s="48" t="n">
        <f aca="false">MAX(AI34:AJ34)</f>
        <v>2.09999999999999</v>
      </c>
      <c r="AM34" s="3"/>
      <c r="AN34" s="48" t="n">
        <f aca="false">AD34-($AD$18-$B$5)</f>
        <v>105.3</v>
      </c>
      <c r="AO34" s="48" t="n">
        <f aca="false">AE34-($AE$18-$B$5)</f>
        <v>106.6</v>
      </c>
      <c r="AP34" s="48" t="n">
        <f aca="false">AF34-($AF$18-$B$5)</f>
        <v>104</v>
      </c>
      <c r="AQ34" s="63"/>
      <c r="AR34" s="49" t="n">
        <f aca="false">AN34-$C34</f>
        <v>0.300000000000011</v>
      </c>
      <c r="AS34" s="49" t="n">
        <f aca="false">AO34-$C34</f>
        <v>1.59999999999999</v>
      </c>
      <c r="AT34" s="49" t="n">
        <f aca="false">AP34-$C34</f>
        <v>-1</v>
      </c>
      <c r="AU34" s="48" t="n">
        <f aca="false">MINA(AS34:AT34)</f>
        <v>-1</v>
      </c>
      <c r="AV34" s="48" t="n">
        <f aca="false">MAX(AS34:AT34)</f>
        <v>1.59999999999999</v>
      </c>
      <c r="AW34" s="48"/>
      <c r="AX34" s="48"/>
    </row>
    <row r="35" customFormat="false" ht="12.75" hidden="false" customHeight="false" outlineLevel="0" collapsed="false">
      <c r="C35" s="26" t="n">
        <f aca="false">Accuracy!F34</f>
        <v>110</v>
      </c>
      <c r="D35" s="26" t="n">
        <f aca="false">'Resistor Network'!AB35</f>
        <v>0.0403889623405979</v>
      </c>
      <c r="E35" s="26" t="n">
        <f aca="false">'Resistor Network'!AC35</f>
        <v>0.038650659957484</v>
      </c>
      <c r="F35" s="26" t="n">
        <f aca="false">'Resistor Network'!AD35</f>
        <v>0.0422020123892432</v>
      </c>
      <c r="G35" s="35"/>
      <c r="H35" s="35"/>
      <c r="J35" s="0" t="n">
        <f aca="false">ROUND(D35*2^$K$2,0)</f>
        <v>1323</v>
      </c>
      <c r="K35" s="0" t="n">
        <f aca="false">ROUND(E35*2^$K$2,0)</f>
        <v>1267</v>
      </c>
      <c r="L35" s="0" t="n">
        <f aca="false">ROUND(F35*2^$K$2,0)</f>
        <v>1383</v>
      </c>
      <c r="N35" s="48" t="n">
        <f aca="false">J35/2^15</f>
        <v>0.040374755859375</v>
      </c>
      <c r="O35" s="48" t="n">
        <f aca="false">K35/2^15</f>
        <v>0.038665771484375</v>
      </c>
      <c r="P35" s="48" t="n">
        <f aca="false">L35/2^15</f>
        <v>0.042205810546875</v>
      </c>
      <c r="Q35" s="48"/>
      <c r="R35" s="48" t="n">
        <f aca="false">N35/($R$42*N35^4+$R$43*N35^3+$R$44*N35^2+$R$45*N35+$R$46)*2^14</f>
        <v>0.368847697738502</v>
      </c>
      <c r="S35" s="48" t="n">
        <f aca="false">O35/($R$42*O35^4+$R$43*O35^3+$R$44*O35^2+$R$45*O35+$R$46)*2^14</f>
        <v>0.362669619843446</v>
      </c>
      <c r="T35" s="48" t="n">
        <f aca="false">P35/($R$42*P35^4+$R$43*P35^3+$R$44*P35^2+$R$45*P35+$R$46)*2^14</f>
        <v>0.375146693279568</v>
      </c>
      <c r="V35" s="48" t="n">
        <f aca="false">R35</f>
        <v>0.368847697738502</v>
      </c>
      <c r="W35" s="48" t="n">
        <f aca="false">S35</f>
        <v>0.362669619843446</v>
      </c>
      <c r="X35" s="48" t="n">
        <f aca="false">T35</f>
        <v>0.375146693279568</v>
      </c>
      <c r="Z35" s="0" t="n">
        <f aca="false">$Z$43*V35^3+$Z$44*V35^2+$Z$45*V35+$Z$46</f>
        <v>3834.78885764942</v>
      </c>
      <c r="AA35" s="0" t="n">
        <f aca="false">$Z$43*W35^3+$Z$44*W35^2+$Z$45*W35+$Z$46</f>
        <v>3853.6579539437</v>
      </c>
      <c r="AB35" s="0" t="n">
        <f aca="false">$Z$43*X35^3+$Z$44*X35^2+$Z$45*X35+$Z$46</f>
        <v>3815.5479772085</v>
      </c>
      <c r="AC35" s="64"/>
      <c r="AD35" s="49" t="n">
        <f aca="false">ROUND(Z35/10-273.15,1)</f>
        <v>110.3</v>
      </c>
      <c r="AE35" s="49" t="n">
        <f aca="false">ROUND(AA35/10-273.15,1)</f>
        <v>112.2</v>
      </c>
      <c r="AF35" s="49" t="n">
        <f aca="false">ROUND(AB35/10-273.15,1)</f>
        <v>108.4</v>
      </c>
      <c r="AG35" s="50"/>
      <c r="AH35" s="49" t="n">
        <f aca="false">AD35-$C35</f>
        <v>0.299999999999997</v>
      </c>
      <c r="AI35" s="49" t="n">
        <f aca="false">AE35-$C35</f>
        <v>2.2</v>
      </c>
      <c r="AJ35" s="49" t="n">
        <f aca="false">AF35-$C35</f>
        <v>-1.59999999999999</v>
      </c>
      <c r="AK35" s="48" t="n">
        <f aca="false">MINA(AI35:AJ35)</f>
        <v>-1.59999999999999</v>
      </c>
      <c r="AL35" s="48" t="n">
        <f aca="false">MAX(AI35:AJ35)</f>
        <v>2.2</v>
      </c>
      <c r="AM35" s="3"/>
      <c r="AN35" s="48" t="n">
        <f aca="false">AD35-($AD$18-$B$5)</f>
        <v>110.4</v>
      </c>
      <c r="AO35" s="48" t="n">
        <f aca="false">AE35-($AE$18-$B$5)</f>
        <v>111.7</v>
      </c>
      <c r="AP35" s="48" t="n">
        <f aca="false">AF35-($AF$18-$B$5)</f>
        <v>109</v>
      </c>
      <c r="AQ35" s="63"/>
      <c r="AR35" s="49" t="n">
        <f aca="false">AN35-$C35</f>
        <v>0.400000000000006</v>
      </c>
      <c r="AS35" s="49" t="n">
        <f aca="false">AO35-$C35</f>
        <v>1.7</v>
      </c>
      <c r="AT35" s="49" t="n">
        <f aca="false">AP35-$C35</f>
        <v>-1</v>
      </c>
      <c r="AU35" s="48" t="n">
        <f aca="false">MINA(AS35:AT35)</f>
        <v>-1</v>
      </c>
      <c r="AV35" s="48" t="n">
        <f aca="false">MAX(AS35:AT35)</f>
        <v>1.7</v>
      </c>
      <c r="AW35" s="48"/>
      <c r="AX35" s="48"/>
    </row>
    <row r="36" customFormat="false" ht="12.75" hidden="false" customHeight="false" outlineLevel="0" collapsed="false">
      <c r="C36" s="26" t="n">
        <f aca="false">Accuracy!F35</f>
        <v>115</v>
      </c>
      <c r="D36" s="26" t="n">
        <f aca="false">'Resistor Network'!AB36</f>
        <v>0</v>
      </c>
      <c r="E36" s="26" t="e">
        <f aca="false">'Resistor Network'!AC36</f>
        <v>#VALUE!</v>
      </c>
      <c r="F36" s="26" t="e">
        <f aca="false">'Resistor Network'!AD36</f>
        <v>#VALUE!</v>
      </c>
      <c r="G36" s="35"/>
      <c r="H36" s="35"/>
      <c r="J36" s="0" t="n">
        <f aca="false">ROUND(D36*2^$K$2,0)</f>
        <v>0</v>
      </c>
      <c r="K36" s="0" t="e">
        <f aca="false">ROUND(E36*2^$K$2,0)</f>
        <v>#VALUE!</v>
      </c>
      <c r="L36" s="0" t="e">
        <f aca="false">ROUND(F36*2^$K$2,0)</f>
        <v>#VALUE!</v>
      </c>
      <c r="N36" s="48" t="n">
        <f aca="false">J36/2^15</f>
        <v>0</v>
      </c>
      <c r="O36" s="48" t="e">
        <f aca="false">K36/2^15</f>
        <v>#VALUE!</v>
      </c>
      <c r="P36" s="48" t="e">
        <f aca="false">L36/2^15</f>
        <v>#VALUE!</v>
      </c>
      <c r="Q36" s="48"/>
      <c r="R36" s="48" t="n">
        <f aca="false">N36/($R$42*N36^4+$R$43*N36^3+$R$44*N36^2+$R$45*N36+$R$46)*2^14</f>
        <v>0</v>
      </c>
      <c r="S36" s="48" t="e">
        <f aca="false">O36/($R$42*O36^4+$R$43*O36^3+$R$44*O36^2+$R$45*O36+$R$46)*2^14</f>
        <v>#VALUE!</v>
      </c>
      <c r="T36" s="48" t="e">
        <f aca="false">P36/($R$42*P36^4+$R$43*P36^3+$R$44*P36^2+$R$45*P36+$R$46)*2^14</f>
        <v>#VALUE!</v>
      </c>
      <c r="V36" s="48" t="n">
        <f aca="false">R36</f>
        <v>0</v>
      </c>
      <c r="W36" s="48" t="e">
        <f aca="false">S36</f>
        <v>#VALUE!</v>
      </c>
      <c r="X36" s="48" t="e">
        <f aca="false">T36</f>
        <v>#VALUE!</v>
      </c>
      <c r="Z36" s="0" t="n">
        <f aca="false">$Z$43*V36^3+$Z$44*V36^2+$Z$45*V36+$Z$46</f>
        <v>4955</v>
      </c>
      <c r="AA36" s="0" t="e">
        <f aca="false">$Z$43*W36^3+$Z$44*W36^2+$Z$45*W36+$Z$46</f>
        <v>#VALUE!</v>
      </c>
      <c r="AB36" s="0" t="e">
        <f aca="false">$Z$43*X36^3+$Z$44*X36^2+$Z$45*X36+$Z$46</f>
        <v>#VALUE!</v>
      </c>
      <c r="AC36" s="64"/>
      <c r="AD36" s="49" t="n">
        <f aca="false">ROUND(Z36/10-273.15,1)</f>
        <v>222.4</v>
      </c>
      <c r="AE36" s="49" t="e">
        <f aca="false">ROUND(AA36/10-273.15,1)</f>
        <v>#VALUE!</v>
      </c>
      <c r="AF36" s="49" t="e">
        <f aca="false">ROUND(AB36/10-273.15,1)</f>
        <v>#VALUE!</v>
      </c>
      <c r="AG36" s="50"/>
      <c r="AH36" s="49" t="n">
        <f aca="false">AD36-$C36</f>
        <v>107.4</v>
      </c>
      <c r="AI36" s="49" t="e">
        <f aca="false">AE36-$C36</f>
        <v>#VALUE!</v>
      </c>
      <c r="AJ36" s="49" t="e">
        <f aca="false">AF36-$C36</f>
        <v>#VALUE!</v>
      </c>
      <c r="AK36" s="48" t="e">
        <f aca="false">MINA(AI36:AJ36)</f>
        <v>#VALUE!</v>
      </c>
      <c r="AL36" s="48" t="e">
        <f aca="false">MAX(AI36:AJ36)</f>
        <v>#VALUE!</v>
      </c>
      <c r="AM36" s="3"/>
      <c r="AN36" s="48" t="n">
        <f aca="false">AD36-($AD$18-$B$5)</f>
        <v>222.5</v>
      </c>
      <c r="AO36" s="48" t="e">
        <f aca="false">AE36-($AE$18-$B$5)</f>
        <v>#VALUE!</v>
      </c>
      <c r="AP36" s="48" t="e">
        <f aca="false">AF36-($AF$18-$B$5)</f>
        <v>#VALUE!</v>
      </c>
      <c r="AQ36" s="63"/>
      <c r="AR36" s="49" t="n">
        <f aca="false">AN36-$C36</f>
        <v>107.5</v>
      </c>
      <c r="AS36" s="49" t="e">
        <f aca="false">AO36-$C36</f>
        <v>#VALUE!</v>
      </c>
      <c r="AT36" s="49" t="e">
        <f aca="false">AP36-$C36</f>
        <v>#VALUE!</v>
      </c>
      <c r="AU36" s="48" t="e">
        <f aca="false">MINA(AS36:AT36)</f>
        <v>#VALUE!</v>
      </c>
      <c r="AV36" s="48" t="e">
        <f aca="false">MAX(AS36:AT36)</f>
        <v>#VALUE!</v>
      </c>
      <c r="AW36" s="48"/>
      <c r="AX36" s="48"/>
    </row>
    <row r="37" customFormat="false" ht="12.75" hidden="false" customHeight="false" outlineLevel="0" collapsed="false">
      <c r="C37" s="26" t="n">
        <f aca="false">Accuracy!F36</f>
        <v>0</v>
      </c>
      <c r="D37" s="26" t="n">
        <f aca="false">'Resistor Network'!AB37</f>
        <v>0</v>
      </c>
      <c r="E37" s="26" t="e">
        <f aca="false">'Resistor Network'!AC37</f>
        <v>#VALUE!</v>
      </c>
      <c r="F37" s="26" t="e">
        <f aca="false">'Resistor Network'!AD37</f>
        <v>#VALUE!</v>
      </c>
      <c r="G37" s="35"/>
      <c r="H37" s="35"/>
      <c r="J37" s="0" t="n">
        <f aca="false">ROUND(D37*2^$K$2,0)</f>
        <v>0</v>
      </c>
      <c r="K37" s="0" t="e">
        <f aca="false">ROUND(E37*2^$K$2,0)</f>
        <v>#VALUE!</v>
      </c>
      <c r="L37" s="0" t="e">
        <f aca="false">ROUND(F37*2^$K$2,0)</f>
        <v>#VALUE!</v>
      </c>
      <c r="N37" s="48" t="n">
        <f aca="false">J37/2^15</f>
        <v>0</v>
      </c>
      <c r="O37" s="48" t="e">
        <f aca="false">K37/2^15</f>
        <v>#VALUE!</v>
      </c>
      <c r="P37" s="48" t="e">
        <f aca="false">L37/2^15</f>
        <v>#VALUE!</v>
      </c>
      <c r="Q37" s="48"/>
      <c r="R37" s="48" t="n">
        <f aca="false">N37/($R$42*N37^4+$R$43*N37^3+$R$44*N37^2+$R$45*N37+$R$46)*2^14</f>
        <v>0</v>
      </c>
      <c r="S37" s="48" t="e">
        <f aca="false">O37/($R$42*O37^4+$R$43*O37^3+$R$44*O37^2+$R$45*O37+$R$46)*2^14</f>
        <v>#VALUE!</v>
      </c>
      <c r="T37" s="48" t="e">
        <f aca="false">P37/($R$42*P37^4+$R$43*P37^3+$R$44*P37^2+$R$45*P37+$R$46)*2^14</f>
        <v>#VALUE!</v>
      </c>
      <c r="V37" s="48" t="n">
        <f aca="false">R37</f>
        <v>0</v>
      </c>
      <c r="W37" s="48" t="e">
        <f aca="false">S37</f>
        <v>#VALUE!</v>
      </c>
      <c r="X37" s="48" t="e">
        <f aca="false">T37</f>
        <v>#VALUE!</v>
      </c>
      <c r="Z37" s="0" t="n">
        <f aca="false">$Z$43*V37^3+$Z$44*V37^2+$Z$45*V37+$Z$46</f>
        <v>4955</v>
      </c>
      <c r="AA37" s="0" t="e">
        <f aca="false">$Z$43*W37^3+$Z$44*W37^2+$Z$45*W37+$Z$46</f>
        <v>#VALUE!</v>
      </c>
      <c r="AB37" s="0" t="e">
        <f aca="false">$Z$43*X37^3+$Z$44*X37^2+$Z$45*X37+$Z$46</f>
        <v>#VALUE!</v>
      </c>
      <c r="AC37" s="64"/>
      <c r="AD37" s="49" t="n">
        <f aca="false">ROUND(Z37/10-273.15,1)</f>
        <v>222.4</v>
      </c>
      <c r="AE37" s="49" t="e">
        <f aca="false">ROUND(AA37/10-273.15,1)</f>
        <v>#VALUE!</v>
      </c>
      <c r="AF37" s="49" t="e">
        <f aca="false">ROUND(AB37/10-273.15,1)</f>
        <v>#VALUE!</v>
      </c>
      <c r="AG37" s="50"/>
      <c r="AH37" s="49" t="n">
        <f aca="false">AD37-$C37</f>
        <v>222.4</v>
      </c>
      <c r="AI37" s="49" t="e">
        <f aca="false">AE37-$C37</f>
        <v>#VALUE!</v>
      </c>
      <c r="AJ37" s="49" t="e">
        <f aca="false">AF37-$C37</f>
        <v>#VALUE!</v>
      </c>
      <c r="AK37" s="48" t="e">
        <f aca="false">MINA(AI37:AJ37)</f>
        <v>#VALUE!</v>
      </c>
      <c r="AL37" s="48" t="e">
        <f aca="false">MAX(AI37:AJ37)</f>
        <v>#VALUE!</v>
      </c>
      <c r="AM37" s="3"/>
      <c r="AN37" s="48" t="n">
        <f aca="false">AD37-($AD$18-$B$5)</f>
        <v>222.5</v>
      </c>
      <c r="AO37" s="48" t="e">
        <f aca="false">AE37-($AE$18-$B$5)</f>
        <v>#VALUE!</v>
      </c>
      <c r="AP37" s="48" t="e">
        <f aca="false">AF37-($AF$18-$B$5)</f>
        <v>#VALUE!</v>
      </c>
      <c r="AQ37" s="63"/>
      <c r="AR37" s="49" t="n">
        <f aca="false">AN37-$C37</f>
        <v>222.5</v>
      </c>
      <c r="AS37" s="49" t="e">
        <f aca="false">AO37-$C37</f>
        <v>#VALUE!</v>
      </c>
      <c r="AT37" s="49" t="e">
        <f aca="false">AP37-$C37</f>
        <v>#VALUE!</v>
      </c>
      <c r="AU37" s="48" t="e">
        <f aca="false">MINA(AS37:AT37)</f>
        <v>#VALUE!</v>
      </c>
      <c r="AV37" s="48" t="e">
        <f aca="false">MAX(AS37:AT37)</f>
        <v>#VALUE!</v>
      </c>
      <c r="AW37" s="48"/>
      <c r="AX37" s="48"/>
    </row>
    <row r="38" customFormat="false" ht="12.75" hidden="false" customHeight="false" outlineLevel="0" collapsed="false">
      <c r="C38" s="26" t="n">
        <f aca="false">Accuracy!F37</f>
        <v>0</v>
      </c>
      <c r="D38" s="26" t="n">
        <f aca="false">'Resistor Network'!AB38</f>
        <v>0</v>
      </c>
      <c r="E38" s="26" t="e">
        <f aca="false">'Resistor Network'!AC38</f>
        <v>#VALUE!</v>
      </c>
      <c r="F38" s="26" t="e">
        <f aca="false">'Resistor Network'!AD38</f>
        <v>#VALUE!</v>
      </c>
      <c r="G38" s="35"/>
      <c r="H38" s="35"/>
      <c r="J38" s="0" t="n">
        <f aca="false">ROUND(D38*2^$K$2,0)</f>
        <v>0</v>
      </c>
      <c r="K38" s="0" t="e">
        <f aca="false">ROUND(E38*2^$K$2,0)</f>
        <v>#VALUE!</v>
      </c>
      <c r="L38" s="0" t="e">
        <f aca="false">ROUND(F38*2^$K$2,0)</f>
        <v>#VALUE!</v>
      </c>
      <c r="N38" s="48" t="n">
        <f aca="false">J38/2^15</f>
        <v>0</v>
      </c>
      <c r="O38" s="48" t="e">
        <f aca="false">K38/2^15</f>
        <v>#VALUE!</v>
      </c>
      <c r="P38" s="48" t="e">
        <f aca="false">L38/2^15</f>
        <v>#VALUE!</v>
      </c>
      <c r="Q38" s="48"/>
      <c r="R38" s="48" t="n">
        <f aca="false">N38/($R$42*N38^4+$R$43*N38^3+$R$44*N38^2+$R$45*N38+$R$46)*2^14</f>
        <v>0</v>
      </c>
      <c r="S38" s="48" t="e">
        <f aca="false">O38/($R$42*O38^4+$R$43*O38^3+$R$44*O38^2+$R$45*O38+$R$46)*2^14</f>
        <v>#VALUE!</v>
      </c>
      <c r="T38" s="48" t="e">
        <f aca="false">P38/($R$42*P38^4+$R$43*P38^3+$R$44*P38^2+$R$45*P38+$R$46)*2^14</f>
        <v>#VALUE!</v>
      </c>
      <c r="V38" s="48" t="n">
        <f aca="false">R38</f>
        <v>0</v>
      </c>
      <c r="W38" s="48" t="e">
        <f aca="false">S38</f>
        <v>#VALUE!</v>
      </c>
      <c r="X38" s="48" t="e">
        <f aca="false">T38</f>
        <v>#VALUE!</v>
      </c>
      <c r="Z38" s="0" t="n">
        <f aca="false">$Z$43*V38^3+$Z$44*V38^2+$Z$45*V38+$Z$46</f>
        <v>4955</v>
      </c>
      <c r="AA38" s="0" t="e">
        <f aca="false">$Z$43*W38^3+$Z$44*W38^2+$Z$45*W38+$Z$46</f>
        <v>#VALUE!</v>
      </c>
      <c r="AB38" s="0" t="e">
        <f aca="false">$Z$43*X38^3+$Z$44*X38^2+$Z$45*X38+$Z$46</f>
        <v>#VALUE!</v>
      </c>
      <c r="AC38" s="64"/>
      <c r="AD38" s="49" t="n">
        <f aca="false">ROUND(Z38/10-273.15,1)</f>
        <v>222.4</v>
      </c>
      <c r="AE38" s="49" t="e">
        <f aca="false">ROUND(AA38/10-273.15,1)</f>
        <v>#VALUE!</v>
      </c>
      <c r="AF38" s="49" t="e">
        <f aca="false">ROUND(AB38/10-273.15,1)</f>
        <v>#VALUE!</v>
      </c>
      <c r="AG38" s="50"/>
      <c r="AH38" s="49" t="n">
        <f aca="false">AD38-$C38</f>
        <v>222.4</v>
      </c>
      <c r="AI38" s="49" t="e">
        <f aca="false">AE38-$C38</f>
        <v>#VALUE!</v>
      </c>
      <c r="AJ38" s="49" t="e">
        <f aca="false">AF38-$C38</f>
        <v>#VALUE!</v>
      </c>
      <c r="AK38" s="48" t="e">
        <f aca="false">MINA(AI38:AJ38)</f>
        <v>#VALUE!</v>
      </c>
      <c r="AL38" s="48" t="e">
        <f aca="false">MAX(AI38:AJ38)</f>
        <v>#VALUE!</v>
      </c>
      <c r="AM38" s="3"/>
      <c r="AN38" s="48" t="n">
        <f aca="false">AD38-($AD$18-$B$5)</f>
        <v>222.5</v>
      </c>
      <c r="AO38" s="48" t="e">
        <f aca="false">AE38-($AE$18-$B$5)</f>
        <v>#VALUE!</v>
      </c>
      <c r="AP38" s="48" t="e">
        <f aca="false">AF38-($AF$18-$B$5)</f>
        <v>#VALUE!</v>
      </c>
      <c r="AQ38" s="63"/>
      <c r="AR38" s="49" t="n">
        <f aca="false">AN38-$C38</f>
        <v>222.5</v>
      </c>
      <c r="AS38" s="49" t="e">
        <f aca="false">AO38-$C38</f>
        <v>#VALUE!</v>
      </c>
      <c r="AT38" s="49" t="e">
        <f aca="false">AP38-$C38</f>
        <v>#VALUE!</v>
      </c>
      <c r="AU38" s="48" t="e">
        <f aca="false">MINA(AS38:AT38)</f>
        <v>#VALUE!</v>
      </c>
      <c r="AV38" s="48" t="e">
        <f aca="false">MAX(AS38:AT38)</f>
        <v>#VALUE!</v>
      </c>
      <c r="AW38" s="48"/>
      <c r="AX38" s="48"/>
    </row>
    <row r="39" customFormat="false" ht="12.75" hidden="false" customHeight="false" outlineLevel="0" collapsed="false">
      <c r="C39" s="26" t="n">
        <f aca="false">Accuracy!F38</f>
        <v>0</v>
      </c>
      <c r="D39" s="26" t="n">
        <f aca="false">'Resistor Network'!AB39</f>
        <v>0</v>
      </c>
      <c r="E39" s="26" t="e">
        <f aca="false">'Resistor Network'!AC39</f>
        <v>#VALUE!</v>
      </c>
      <c r="F39" s="26" t="e">
        <f aca="false">'Resistor Network'!AD39</f>
        <v>#VALUE!</v>
      </c>
      <c r="G39" s="35"/>
      <c r="H39" s="35"/>
      <c r="J39" s="0" t="n">
        <f aca="false">ROUND(D39*2^$K$2,0)</f>
        <v>0</v>
      </c>
      <c r="K39" s="0" t="e">
        <f aca="false">ROUND(E39*2^$K$2,0)</f>
        <v>#VALUE!</v>
      </c>
      <c r="L39" s="0" t="e">
        <f aca="false">ROUND(F39*2^$K$2,0)</f>
        <v>#VALUE!</v>
      </c>
      <c r="N39" s="48" t="n">
        <f aca="false">J39/2^15</f>
        <v>0</v>
      </c>
      <c r="O39" s="48" t="e">
        <f aca="false">K39/2^15</f>
        <v>#VALUE!</v>
      </c>
      <c r="P39" s="48" t="e">
        <f aca="false">L39/2^15</f>
        <v>#VALUE!</v>
      </c>
      <c r="Q39" s="48"/>
      <c r="R39" s="48" t="n">
        <f aca="false">N39/($R$42*N39^4+$R$43*N39^3+$R$44*N39^2+$R$45*N39+$R$46)*2^14</f>
        <v>0</v>
      </c>
      <c r="S39" s="48" t="e">
        <f aca="false">O39/($R$42*O39^4+$R$43*O39^3+$R$44*O39^2+$R$45*O39+$R$46)*2^14</f>
        <v>#VALUE!</v>
      </c>
      <c r="T39" s="48" t="e">
        <f aca="false">P39/($R$42*P39^4+$R$43*P39^3+$R$44*P39^2+$R$45*P39+$R$46)*2^14</f>
        <v>#VALUE!</v>
      </c>
      <c r="V39" s="48" t="n">
        <f aca="false">R39</f>
        <v>0</v>
      </c>
      <c r="W39" s="48" t="e">
        <f aca="false">S39</f>
        <v>#VALUE!</v>
      </c>
      <c r="X39" s="48" t="e">
        <f aca="false">T39</f>
        <v>#VALUE!</v>
      </c>
      <c r="Z39" s="0" t="n">
        <f aca="false">$Z$43*V39^3+$Z$44*V39^2+$Z$45*V39+$Z$46</f>
        <v>4955</v>
      </c>
      <c r="AA39" s="0" t="e">
        <f aca="false">$Z$43*W39^3+$Z$44*W39^2+$Z$45*W39+$Z$46</f>
        <v>#VALUE!</v>
      </c>
      <c r="AB39" s="0" t="e">
        <f aca="false">$Z$43*X39^3+$Z$44*X39^2+$Z$45*X39+$Z$46</f>
        <v>#VALUE!</v>
      </c>
      <c r="AC39" s="64"/>
      <c r="AD39" s="49" t="n">
        <f aca="false">ROUND(Z39/10-273.15,1)</f>
        <v>222.4</v>
      </c>
      <c r="AE39" s="49" t="e">
        <f aca="false">ROUND(AA39/10-273.15,1)</f>
        <v>#VALUE!</v>
      </c>
      <c r="AF39" s="49" t="e">
        <f aca="false">ROUND(AB39/10-273.15,1)</f>
        <v>#VALUE!</v>
      </c>
      <c r="AG39" s="50"/>
      <c r="AH39" s="49" t="n">
        <f aca="false">AD39-$C39</f>
        <v>222.4</v>
      </c>
      <c r="AI39" s="49" t="e">
        <f aca="false">AE39-$C39</f>
        <v>#VALUE!</v>
      </c>
      <c r="AJ39" s="49" t="e">
        <f aca="false">AF39-$C39</f>
        <v>#VALUE!</v>
      </c>
      <c r="AK39" s="48" t="e">
        <f aca="false">MINA(AI39:AJ39)</f>
        <v>#VALUE!</v>
      </c>
      <c r="AL39" s="48" t="e">
        <f aca="false">MAX(AI39:AJ39)</f>
        <v>#VALUE!</v>
      </c>
      <c r="AM39" s="3"/>
      <c r="AN39" s="48" t="n">
        <f aca="false">AD39-($AD$18-$B$5)</f>
        <v>222.5</v>
      </c>
      <c r="AO39" s="48" t="e">
        <f aca="false">AE39-($AE$18-$B$5)</f>
        <v>#VALUE!</v>
      </c>
      <c r="AP39" s="48" t="e">
        <f aca="false">AF39-($AF$18-$B$5)</f>
        <v>#VALUE!</v>
      </c>
      <c r="AQ39" s="63"/>
      <c r="AR39" s="49" t="n">
        <f aca="false">AN39-$C39</f>
        <v>222.5</v>
      </c>
      <c r="AS39" s="49" t="e">
        <f aca="false">AO39-$C39</f>
        <v>#VALUE!</v>
      </c>
      <c r="AT39" s="49" t="e">
        <f aca="false">AP39-$C39</f>
        <v>#VALUE!</v>
      </c>
      <c r="AU39" s="48" t="e">
        <f aca="false">MINA(AS39:AT39)</f>
        <v>#VALUE!</v>
      </c>
      <c r="AV39" s="48" t="e">
        <f aca="false">MAX(AS39:AT39)</f>
        <v>#VALUE!</v>
      </c>
      <c r="AW39" s="48"/>
      <c r="AX39" s="48"/>
    </row>
    <row r="40" customFormat="false" ht="12.75" hidden="false" customHeight="false" outlineLevel="0" collapsed="false">
      <c r="C40" s="26" t="n">
        <f aca="false">Accuracy!F39</f>
        <v>0</v>
      </c>
      <c r="D40" s="26" t="n">
        <f aca="false">'Resistor Network'!AB40</f>
        <v>0</v>
      </c>
      <c r="E40" s="26" t="e">
        <f aca="false">'Resistor Network'!AC40</f>
        <v>#VALUE!</v>
      </c>
      <c r="F40" s="26" t="e">
        <f aca="false">'Resistor Network'!AD40</f>
        <v>#VALUE!</v>
      </c>
      <c r="G40" s="35"/>
      <c r="H40" s="35"/>
      <c r="J40" s="0" t="n">
        <f aca="false">ROUND(D40*2^$K$2,0)</f>
        <v>0</v>
      </c>
      <c r="K40" s="0" t="e">
        <f aca="false">ROUND(E40*2^$K$2,0)</f>
        <v>#VALUE!</v>
      </c>
      <c r="L40" s="0" t="e">
        <f aca="false">ROUND(F40*2^$K$2,0)</f>
        <v>#VALUE!</v>
      </c>
      <c r="N40" s="48" t="n">
        <f aca="false">J40/2^15</f>
        <v>0</v>
      </c>
      <c r="O40" s="48" t="e">
        <f aca="false">K40/2^15</f>
        <v>#VALUE!</v>
      </c>
      <c r="P40" s="48" t="e">
        <f aca="false">L40/2^15</f>
        <v>#VALUE!</v>
      </c>
      <c r="Q40" s="48"/>
      <c r="R40" s="48" t="n">
        <f aca="false">N40/($R$42*N40^4+$R$43*N40^3+$R$44*N40^2+$R$45*N40+$R$46)*2^14</f>
        <v>0</v>
      </c>
      <c r="S40" s="48" t="e">
        <f aca="false">O40/($R$42*O40^4+$R$43*O40^3+$R$44*O40^2+$R$45*O40+$R$46)*2^14</f>
        <v>#VALUE!</v>
      </c>
      <c r="T40" s="48" t="e">
        <f aca="false">P40/($R$42*P40^4+$R$43*P40^3+$R$44*P40^2+$R$45*P40+$R$46)*2^14</f>
        <v>#VALUE!</v>
      </c>
      <c r="V40" s="48" t="n">
        <f aca="false">R40</f>
        <v>0</v>
      </c>
      <c r="W40" s="48" t="e">
        <f aca="false">S40</f>
        <v>#VALUE!</v>
      </c>
      <c r="X40" s="48" t="e">
        <f aca="false">T40</f>
        <v>#VALUE!</v>
      </c>
      <c r="Z40" s="0" t="n">
        <f aca="false">$Z$43*V40^3+$Z$44*V40^2+$Z$45*V40+$Z$46</f>
        <v>4955</v>
      </c>
      <c r="AA40" s="0" t="e">
        <f aca="false">$Z$43*W40^3+$Z$44*W40^2+$Z$45*W40+$Z$46</f>
        <v>#VALUE!</v>
      </c>
      <c r="AB40" s="0" t="e">
        <f aca="false">$Z$43*X40^3+$Z$44*X40^2+$Z$45*X40+$Z$46</f>
        <v>#VALUE!</v>
      </c>
      <c r="AC40" s="64"/>
      <c r="AD40" s="49" t="n">
        <f aca="false">ROUND(Z40/10-273.15,1)</f>
        <v>222.4</v>
      </c>
      <c r="AE40" s="49" t="e">
        <f aca="false">ROUND(AA40/10-273.15,1)</f>
        <v>#VALUE!</v>
      </c>
      <c r="AF40" s="49" t="e">
        <f aca="false">ROUND(AB40/10-273.15,1)</f>
        <v>#VALUE!</v>
      </c>
      <c r="AG40" s="50"/>
      <c r="AH40" s="49" t="n">
        <f aca="false">AD40-$C40</f>
        <v>222.4</v>
      </c>
      <c r="AI40" s="49" t="e">
        <f aca="false">AE40-$C40</f>
        <v>#VALUE!</v>
      </c>
      <c r="AJ40" s="49" t="e">
        <f aca="false">AF40-$C40</f>
        <v>#VALUE!</v>
      </c>
      <c r="AK40" s="48" t="e">
        <f aca="false">MINA(AI40:AJ40)</f>
        <v>#VALUE!</v>
      </c>
      <c r="AL40" s="48" t="e">
        <f aca="false">MAX(AI40:AJ40)</f>
        <v>#VALUE!</v>
      </c>
      <c r="AM40" s="3"/>
      <c r="AN40" s="48" t="n">
        <f aca="false">AD40-($AD$18-$B$5)</f>
        <v>222.5</v>
      </c>
      <c r="AO40" s="48" t="e">
        <f aca="false">AE40-($AE$18-$B$5)</f>
        <v>#VALUE!</v>
      </c>
      <c r="AP40" s="48" t="e">
        <f aca="false">AF40-($AF$18-$B$5)</f>
        <v>#VALUE!</v>
      </c>
      <c r="AQ40" s="63"/>
      <c r="AR40" s="49" t="n">
        <f aca="false">AN40-$C40</f>
        <v>222.5</v>
      </c>
      <c r="AS40" s="49" t="e">
        <f aca="false">AO40-$C40</f>
        <v>#VALUE!</v>
      </c>
      <c r="AT40" s="49" t="e">
        <f aca="false">AP40-$C40</f>
        <v>#VALUE!</v>
      </c>
      <c r="AU40" s="48" t="e">
        <f aca="false">MINA(AS40:AT40)</f>
        <v>#VALUE!</v>
      </c>
      <c r="AV40" s="48" t="e">
        <f aca="false">MAX(AS40:AT40)</f>
        <v>#VALUE!</v>
      </c>
      <c r="AW40" s="48"/>
      <c r="AX40" s="48"/>
    </row>
    <row r="41" customFormat="false" ht="12.75" hidden="false" customHeight="false" outlineLevel="0" collapsed="false">
      <c r="G41" s="3"/>
      <c r="H41" s="3"/>
      <c r="AA41" s="35"/>
      <c r="AB41" s="35"/>
      <c r="AC41" s="35"/>
      <c r="AM41" s="3"/>
      <c r="AN41" s="3"/>
      <c r="AO41" s="3"/>
      <c r="AP41" s="3"/>
      <c r="AQ41" s="3"/>
    </row>
    <row r="42" customFormat="false" ht="12.75" hidden="false" customHeight="false" outlineLevel="0" collapsed="false">
      <c r="Q42" s="26" t="s">
        <v>107</v>
      </c>
      <c r="R42" s="26" t="n">
        <f aca="false">ROUND('best fit'!T43,0)</f>
        <v>-16011</v>
      </c>
      <c r="AA42" s="35"/>
      <c r="AB42" s="65"/>
      <c r="AC42" s="35"/>
      <c r="AM42" s="3"/>
      <c r="AN42" s="63"/>
      <c r="AO42" s="3"/>
      <c r="AP42" s="3"/>
      <c r="AQ42" s="3"/>
    </row>
    <row r="43" customFormat="false" ht="12.75" hidden="false" customHeight="false" outlineLevel="0" collapsed="false">
      <c r="Q43" s="26" t="s">
        <v>108</v>
      </c>
      <c r="R43" s="26" t="n">
        <f aca="false">ROUND('best fit'!U43,0)</f>
        <v>27432</v>
      </c>
      <c r="Y43" s="26" t="s">
        <v>109</v>
      </c>
      <c r="Z43" s="26" t="n">
        <f aca="false">ROUND('best fit'!AD43,0)</f>
        <v>42</v>
      </c>
      <c r="AC43" s="35"/>
      <c r="AM43" s="3"/>
      <c r="AN43" s="3"/>
      <c r="AO43" s="3"/>
      <c r="AP43" s="3"/>
      <c r="AQ43" s="3"/>
    </row>
    <row r="44" customFormat="false" ht="12.75" hidden="false" customHeight="false" outlineLevel="0" collapsed="false">
      <c r="Q44" s="26" t="s">
        <v>110</v>
      </c>
      <c r="R44" s="26" t="n">
        <f aca="false">ROUND('best fit'!V43,0)</f>
        <v>-23370</v>
      </c>
      <c r="Y44" s="26" t="s">
        <v>111</v>
      </c>
      <c r="Z44" s="26" t="n">
        <f aca="false">ROUND('best fit'!AE43,0)</f>
        <v>-78</v>
      </c>
      <c r="AC44" s="35"/>
      <c r="AM44" s="3"/>
      <c r="AN44" s="3"/>
      <c r="AO44" s="3"/>
      <c r="AP44" s="3"/>
      <c r="AQ44" s="3"/>
    </row>
    <row r="45" customFormat="false" ht="12.75" hidden="false" customHeight="false" outlineLevel="0" collapsed="false">
      <c r="Q45" s="26" t="s">
        <v>112</v>
      </c>
      <c r="R45" s="26" t="n">
        <f aca="false">ROUND('best fit'!W43,0)</f>
        <v>29022</v>
      </c>
      <c r="Y45" s="26" t="s">
        <v>113</v>
      </c>
      <c r="Z45" s="26" t="n">
        <f aca="false">ROUND('best fit'!AF43,0)</f>
        <v>-3014</v>
      </c>
      <c r="AC45" s="35"/>
      <c r="AM45" s="3"/>
      <c r="AN45" s="3"/>
      <c r="AO45" s="3"/>
      <c r="AP45" s="3"/>
      <c r="AQ45" s="3"/>
    </row>
    <row r="46" customFormat="false" ht="12.75" hidden="false" customHeight="false" outlineLevel="0" collapsed="false">
      <c r="Q46" s="26" t="s">
        <v>114</v>
      </c>
      <c r="R46" s="26" t="n">
        <f aca="false">ROUND('best fit'!X43,0)</f>
        <v>658</v>
      </c>
      <c r="Y46" s="26" t="s">
        <v>115</v>
      </c>
      <c r="Z46" s="26" t="n">
        <f aca="false">ROUND('best fit'!AG43,0)</f>
        <v>4955</v>
      </c>
      <c r="AC46" s="35"/>
      <c r="AM46" s="3"/>
      <c r="AN46" s="3"/>
      <c r="AO46" s="3"/>
      <c r="AP46" s="3"/>
      <c r="AQ46" s="3"/>
    </row>
    <row r="47" customFormat="false" ht="12.75" hidden="false" customHeight="false" outlineLevel="0" collapsed="false">
      <c r="Y47" s="35"/>
      <c r="Z47" s="35"/>
      <c r="AC47" s="35"/>
      <c r="AM47" s="3"/>
      <c r="AN47" s="3"/>
      <c r="AO47" s="3"/>
      <c r="AP47" s="3"/>
      <c r="AQ47" s="3"/>
    </row>
  </sheetData>
  <conditionalFormatting sqref="Y42 Z5:AB39 Y6:Y39 Y40:AB40">
    <cfRule type="cellIs" priority="2" operator="notBetween" aboveAverage="0" equalAverage="0" bottom="0" percent="0" rank="0" text="" dxfId="17">
      <formula>-32768</formula>
      <formula>32768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AI4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5" activeCellId="0" sqref="G5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3" min="3" style="0" width="12.42"/>
    <col collapsed="false" customWidth="true" hidden="false" outlineLevel="0" max="4" min="4" style="0" width="13.29"/>
    <col collapsed="false" customWidth="true" hidden="false" outlineLevel="0" max="6" min="5" style="0" width="12.57"/>
    <col collapsed="false" customWidth="true" hidden="false" outlineLevel="0" max="7" min="7" style="0" width="9.42"/>
    <col collapsed="false" customWidth="true" hidden="false" outlineLevel="0" max="13" min="8" style="0" width="12.42"/>
    <col collapsed="false" customWidth="true" hidden="false" outlineLevel="0" max="14" min="14" style="0" width="9.29"/>
    <col collapsed="false" customWidth="true" hidden="false" outlineLevel="0" max="15" min="15" style="0" width="14.86"/>
    <col collapsed="false" customWidth="true" hidden="false" outlineLevel="0" max="31" min="17" style="0" width="12.57"/>
    <col collapsed="false" customWidth="true" hidden="false" outlineLevel="0" max="32" min="32" style="0" width="11"/>
    <col collapsed="false" customWidth="true" hidden="false" outlineLevel="0" max="37" min="37" style="0" width="13.15"/>
    <col collapsed="false" customWidth="true" hidden="false" outlineLevel="0" max="42" min="42" style="0" width="13.15"/>
    <col collapsed="false" customWidth="true" hidden="false" outlineLevel="0" max="43" min="43" style="0" width="12.57"/>
    <col collapsed="false" customWidth="true" hidden="false" outlineLevel="0" max="45" min="44" style="0" width="9.29"/>
  </cols>
  <sheetData>
    <row r="3" customFormat="false" ht="12.75" hidden="false" customHeight="false" outlineLevel="0" collapsed="false">
      <c r="P3" s="0" t="s">
        <v>116</v>
      </c>
      <c r="V3" s="0" t="s">
        <v>117</v>
      </c>
      <c r="AD3" s="0" t="s">
        <v>118</v>
      </c>
      <c r="AE3" s="0" t="s">
        <v>119</v>
      </c>
    </row>
    <row r="4" customFormat="false" ht="12.75" hidden="false" customHeight="false" outlineLevel="0" collapsed="false">
      <c r="C4" s="26" t="str">
        <f aca="false">Digital!C4</f>
        <v>Temperature</v>
      </c>
      <c r="D4" s="26" t="str">
        <f aca="false">Accuracy!G3</f>
        <v>Res (Ω)</v>
      </c>
      <c r="E4" s="26" t="str">
        <f aca="false">Thermistor!K4</f>
        <v>BETA</v>
      </c>
      <c r="F4" s="26" t="s">
        <v>82</v>
      </c>
      <c r="G4" s="26" t="s">
        <v>12</v>
      </c>
      <c r="H4" s="26" t="s">
        <v>15</v>
      </c>
      <c r="I4" s="26" t="s">
        <v>120</v>
      </c>
      <c r="J4" s="35" t="s">
        <v>98</v>
      </c>
      <c r="K4" s="35" t="s">
        <v>121</v>
      </c>
      <c r="L4" s="35" t="s">
        <v>122</v>
      </c>
      <c r="N4" s="0" t="s">
        <v>123</v>
      </c>
      <c r="O4" s="0" t="s">
        <v>124</v>
      </c>
      <c r="P4" s="0" t="s">
        <v>82</v>
      </c>
      <c r="Q4" s="0" t="s">
        <v>125</v>
      </c>
      <c r="S4" s="0" t="s">
        <v>126</v>
      </c>
      <c r="T4" s="0" t="s">
        <v>127</v>
      </c>
      <c r="U4" s="0" t="s">
        <v>128</v>
      </c>
      <c r="V4" s="0" t="s">
        <v>129</v>
      </c>
      <c r="W4" s="0" t="s">
        <v>130</v>
      </c>
      <c r="X4" s="0" t="s">
        <v>63</v>
      </c>
      <c r="Y4" s="0" t="s">
        <v>131</v>
      </c>
      <c r="AA4" s="35" t="s">
        <v>132</v>
      </c>
      <c r="AB4" s="35" t="s">
        <v>133</v>
      </c>
      <c r="AI4" s="0" t="s">
        <v>134</v>
      </c>
    </row>
    <row r="5" customFormat="false" ht="12.75" hidden="false" customHeight="false" outlineLevel="0" collapsed="false">
      <c r="A5" s="48" t="n">
        <v>0.86</v>
      </c>
      <c r="B5" s="0" t="n">
        <v>1</v>
      </c>
      <c r="C5" s="26" t="n">
        <f aca="false">Digital!C5</f>
        <v>-40</v>
      </c>
      <c r="D5" s="26" t="n">
        <f aca="false">Accuracy!G4</f>
        <v>188500</v>
      </c>
      <c r="E5" s="26" t="n">
        <f aca="false">Thermistor!K5</f>
        <v>3140.42764597615</v>
      </c>
      <c r="F5" s="66" t="n">
        <f aca="false">Digital!D5</f>
        <v>0.912832929782082</v>
      </c>
      <c r="G5" s="26" t="n">
        <f aca="false">Accuracy!D12</f>
        <v>18000</v>
      </c>
      <c r="H5" s="26" t="n">
        <f aca="false">'Resistor Network'!S5</f>
        <v>0</v>
      </c>
      <c r="I5" s="26" t="n">
        <f aca="false">Accuracy!D3</f>
        <v>-40</v>
      </c>
      <c r="J5" s="0" t="str">
        <f aca="false">ADDRESS(MATCH($I$5,$C$5:$C$40,0)+4,3)</f>
        <v>$C$5</v>
      </c>
      <c r="K5" s="0" t="str">
        <f aca="false">ADDRESS(MATCH(I5,C5:C40,0)+4,16)</f>
        <v>$P$5</v>
      </c>
      <c r="L5" s="0" t="str">
        <f aca="false">ADDRESS(MATCH($I$5,$C5:$C40,0)+4,22)</f>
        <v>$V$5</v>
      </c>
      <c r="N5" s="0" t="n">
        <f aca="false">C5-0.1</f>
        <v>-40.1</v>
      </c>
      <c r="O5" s="67" t="n">
        <f aca="false">$D$18*EXP(E5*($C$18-N5)/(($C$18+273.15)*(N5+273.15)))</f>
        <v>189592.625336001</v>
      </c>
      <c r="P5" s="48" t="n">
        <f aca="false">(O5+$H$5)/(O5+$H$5+$G$5)</f>
        <v>0.913291717512287</v>
      </c>
      <c r="Q5" s="67" t="n">
        <f aca="false">ROUND(-LN((P5-F5))/LN(2)+0.5,0)</f>
        <v>12</v>
      </c>
      <c r="R5" s="67"/>
      <c r="S5" s="48" t="n">
        <f aca="false">($A$35-$A$5)/($A$42-1)*(B5-1)+$A$5</f>
        <v>0.86</v>
      </c>
      <c r="T5" s="67" t="n">
        <f aca="false">ROUND(S5*2^15,0)</f>
        <v>28180</v>
      </c>
      <c r="U5" s="48" t="n">
        <f aca="false">P5/S5</f>
        <v>1.06196711338638</v>
      </c>
      <c r="V5" s="48" t="n">
        <f aca="false">U5*2^14</f>
        <v>17399.2691857225</v>
      </c>
      <c r="W5" s="49" t="n">
        <f aca="false">$T$43*P5^4+$U$43*P5^3+$V$43*P5^2+$W$43*P5+$X$43</f>
        <v>17428.8641937306</v>
      </c>
      <c r="X5" s="48" t="n">
        <f aca="false">P5/W5*2^14</f>
        <v>0.858539680692664</v>
      </c>
      <c r="Y5" s="49" t="n">
        <f aca="false">W5-V5</f>
        <v>29.5950080081821</v>
      </c>
      <c r="Z5" s="67"/>
      <c r="AA5" s="0" t="str">
        <f aca="false">ADDRESS(MATCH($I$5,$C5:$C40,0)+4,30)</f>
        <v>$AD$5</v>
      </c>
      <c r="AB5" s="0" t="str">
        <f aca="false">ADDRESS(MATCH($I$5,$C5:$C40,0)+4,31)</f>
        <v>$AE$5</v>
      </c>
      <c r="AD5" s="48" t="n">
        <f aca="false">X5</f>
        <v>0.858539680692664</v>
      </c>
      <c r="AE5" s="67" t="n">
        <f aca="false">C5*10+2731.5</f>
        <v>2331.5</v>
      </c>
      <c r="AF5" s="0" t="n">
        <v>110</v>
      </c>
      <c r="AG5" s="0" t="n">
        <f aca="false">$AD$43*AD5^3+$AE$43*AD5^2+$AF$43*AD5+$AG$43</f>
        <v>2336.10246163944</v>
      </c>
      <c r="AI5" s="48" t="n">
        <f aca="false">(AG5-AE5)/10</f>
        <v>0.460246163944248</v>
      </c>
    </row>
    <row r="6" customFormat="false" ht="12.75" hidden="false" customHeight="false" outlineLevel="0" collapsed="false">
      <c r="A6" s="48"/>
      <c r="B6" s="0" t="n">
        <v>2</v>
      </c>
      <c r="C6" s="26" t="n">
        <f aca="false">Digital!C6</f>
        <v>-35</v>
      </c>
      <c r="D6" s="26" t="n">
        <f aca="false">Accuracy!G5</f>
        <v>144100</v>
      </c>
      <c r="E6" s="26" t="n">
        <f aca="false">Thermistor!K6</f>
        <v>3157.23816662783</v>
      </c>
      <c r="F6" s="66" t="n">
        <f aca="false">Digital!D6</f>
        <v>0.888957433682912</v>
      </c>
      <c r="I6" s="26" t="n">
        <f aca="false">Accuracy!D4</f>
        <v>110</v>
      </c>
      <c r="J6" s="0" t="str">
        <f aca="false">ADDRESS(MATCH($I$6,$C$5:$C$40,0)+4,3)</f>
        <v>$C$35</v>
      </c>
      <c r="K6" s="0" t="str">
        <f aca="false">ADDRESS(MATCH(I6,C5:C40,0)+4,16)</f>
        <v>$P$35</v>
      </c>
      <c r="L6" s="0" t="str">
        <f aca="false">ADDRESS(MATCH($I$6,$C6:$C41,0)+5,22)</f>
        <v>$V$35</v>
      </c>
      <c r="N6" s="0" t="n">
        <f aca="false">C6-0.1</f>
        <v>-35.1</v>
      </c>
      <c r="O6" s="67" t="n">
        <f aca="false">$D$18*EXP(E6*($C$18-N6)/(($C$18+273.15)*(N6+273.15)))</f>
        <v>144904.75269395</v>
      </c>
      <c r="P6" s="48" t="n">
        <f aca="false">(O6+$H$5)/(O6+$H$5+$G$5)</f>
        <v>0.889505986152432</v>
      </c>
      <c r="Q6" s="67" t="n">
        <f aca="false">ROUND(-LN((P6-F6))/LN(2)+0.5,0)</f>
        <v>11</v>
      </c>
      <c r="R6" s="67"/>
      <c r="S6" s="48" t="n">
        <f aca="false">($A$35-$A$5)/($A$42-1)*(B6-1)+$A$5</f>
        <v>0.843666666666667</v>
      </c>
      <c r="T6" s="67" t="n">
        <f aca="false">ROUND(S6*2^15,0)</f>
        <v>27645</v>
      </c>
      <c r="U6" s="48" t="n">
        <f aca="false">P6/S6</f>
        <v>1.05433344862003</v>
      </c>
      <c r="V6" s="48" t="n">
        <f aca="false">U6*2^14</f>
        <v>17274.1992221906</v>
      </c>
      <c r="W6" s="49" t="n">
        <f aca="false">$T$43*P6^4+$U$43*P6^3+$V$43*P6^2+$W$43*P6+$X$43</f>
        <v>17265.958390658</v>
      </c>
      <c r="X6" s="48" t="n">
        <f aca="false">P6/W6*2^14</f>
        <v>0.844069338485535</v>
      </c>
      <c r="Y6" s="49" t="n">
        <f aca="false">W6-V6</f>
        <v>-8.2408315326029</v>
      </c>
      <c r="Z6" s="67"/>
      <c r="AA6" s="0" t="str">
        <f aca="false">ADDRESS(MATCH($I$6,$C6:$C41,0)+5,30)</f>
        <v>$AD$35</v>
      </c>
      <c r="AB6" s="0" t="str">
        <f aca="false">ADDRESS(MATCH($I$6,$C6:$C41,0)+5,31)</f>
        <v>$AE$35</v>
      </c>
      <c r="AD6" s="48" t="n">
        <f aca="false">X6</f>
        <v>0.844069338485535</v>
      </c>
      <c r="AE6" s="67" t="n">
        <f aca="false">C6*10+2731.5</f>
        <v>2381.5</v>
      </c>
      <c r="AF6" s="0" t="n">
        <v>105</v>
      </c>
      <c r="AG6" s="0" t="n">
        <f aca="false">$AD$43*AD6^3+$AE$43*AD6^2+$AF$43*AD6+$AG$43</f>
        <v>2380.33119797533</v>
      </c>
      <c r="AI6" s="48" t="n">
        <f aca="false">(AG6-AE6)/10</f>
        <v>-0.1168802024672</v>
      </c>
    </row>
    <row r="7" customFormat="false" ht="12.75" hidden="false" customHeight="false" outlineLevel="0" collapsed="false">
      <c r="B7" s="0" t="n">
        <v>3</v>
      </c>
      <c r="C7" s="26" t="n">
        <f aca="false">Digital!C7</f>
        <v>-30</v>
      </c>
      <c r="D7" s="26" t="n">
        <f aca="false">Accuracy!G6</f>
        <v>111300</v>
      </c>
      <c r="E7" s="26" t="n">
        <f aca="false">Thermistor!K7</f>
        <v>3176.13762592968</v>
      </c>
      <c r="F7" s="66" t="n">
        <f aca="false">Digital!D7</f>
        <v>0.860788863109049</v>
      </c>
      <c r="N7" s="0" t="n">
        <f aca="false">C7-0.1</f>
        <v>-30.1</v>
      </c>
      <c r="O7" s="67" t="n">
        <f aca="false">$D$18*EXP(E7*($C$18-N7)/(($C$18+273.15)*(N7+273.15)))</f>
        <v>111899.780214184</v>
      </c>
      <c r="P7" s="48" t="n">
        <f aca="false">(O7+$H$5)/(O7+$H$5+$G$5)</f>
        <v>0.861431636217391</v>
      </c>
      <c r="Q7" s="67" t="n">
        <f aca="false">ROUND(-LN((P7-F7))/LN(2)+0.5,0)</f>
        <v>11</v>
      </c>
      <c r="R7" s="67"/>
      <c r="S7" s="48" t="n">
        <f aca="false">($A$35-$A$5)/($A$42-1)*(B7-1)+$A$5</f>
        <v>0.827333333333333</v>
      </c>
      <c r="T7" s="67" t="n">
        <f aca="false">ROUND(S7*2^15,0)</f>
        <v>27110</v>
      </c>
      <c r="U7" s="48" t="n">
        <f aca="false">P7/S7</f>
        <v>1.04121470936832</v>
      </c>
      <c r="V7" s="48" t="n">
        <f aca="false">U7*2^14</f>
        <v>17059.2617982906</v>
      </c>
      <c r="W7" s="49" t="n">
        <f aca="false">$T$43*P7^4+$U$43*P7^3+$V$43*P7^2+$W$43*P7+$X$43</f>
        <v>17035.7390379237</v>
      </c>
      <c r="X7" s="48" t="n">
        <f aca="false">P7/W7*2^14</f>
        <v>0.828475706065165</v>
      </c>
      <c r="Y7" s="49" t="n">
        <f aca="false">W7-V7</f>
        <v>-23.5227603668791</v>
      </c>
      <c r="Z7" s="67"/>
      <c r="AA7" s="67"/>
      <c r="AB7" s="49"/>
      <c r="AD7" s="48" t="n">
        <f aca="false">X7</f>
        <v>0.828475706065165</v>
      </c>
      <c r="AE7" s="67" t="n">
        <f aca="false">C7*10+2731.5</f>
        <v>2431.5</v>
      </c>
      <c r="AF7" s="0" t="n">
        <v>100</v>
      </c>
      <c r="AG7" s="0" t="n">
        <f aca="false">$AD$43*AD7^3+$AE$43*AD7^2+$AF$43*AD7+$AG$43</f>
        <v>2428.00630969263</v>
      </c>
      <c r="AI7" s="48" t="n">
        <f aca="false">(AG7-AE7)/10</f>
        <v>-0.349369030736943</v>
      </c>
    </row>
    <row r="8" customFormat="false" ht="12.75" hidden="false" customHeight="false" outlineLevel="0" collapsed="false">
      <c r="B8" s="0" t="n">
        <v>4</v>
      </c>
      <c r="C8" s="26" t="n">
        <f aca="false">Digital!C8</f>
        <v>-25</v>
      </c>
      <c r="D8" s="26" t="n">
        <f aca="false">Accuracy!G7</f>
        <v>86430</v>
      </c>
      <c r="E8" s="26" t="n">
        <f aca="false">Thermistor!K8</f>
        <v>3191.3823893697</v>
      </c>
      <c r="F8" s="66" t="n">
        <f aca="false">Digital!D8</f>
        <v>0.827635736857225</v>
      </c>
      <c r="N8" s="0" t="n">
        <f aca="false">C8-0.1</f>
        <v>-25.1</v>
      </c>
      <c r="O8" s="67" t="n">
        <f aca="false">$D$18*EXP(E8*($C$18-N8)/(($C$18+273.15)*(N8+273.15)))</f>
        <v>86879.2790630696</v>
      </c>
      <c r="P8" s="48" t="n">
        <f aca="false">(O8+$H$5)/(O8+$H$5+$G$5)</f>
        <v>0.828374106298198</v>
      </c>
      <c r="Q8" s="67" t="n">
        <f aca="false">ROUND(-LN((P8-F8))/LN(2)+0.5,0)</f>
        <v>11</v>
      </c>
      <c r="R8" s="67"/>
      <c r="S8" s="48" t="n">
        <f aca="false">($A$35-$A$5)/($A$42-1)*(B8-1)+$A$5</f>
        <v>0.811</v>
      </c>
      <c r="T8" s="67" t="n">
        <f aca="false">ROUND(S8*2^15,0)</f>
        <v>26575</v>
      </c>
      <c r="U8" s="48" t="n">
        <f aca="false">P8/S8</f>
        <v>1.02142306571911</v>
      </c>
      <c r="V8" s="48" t="n">
        <f aca="false">U8*2^14</f>
        <v>16734.9955087419</v>
      </c>
      <c r="W8" s="49" t="n">
        <f aca="false">$T$43*P8^4+$U$43*P8^3+$V$43*P8^2+$W$43*P8+$X$43</f>
        <v>16716.8813571153</v>
      </c>
      <c r="X8" s="48" t="n">
        <f aca="false">P8/W8*2^14</f>
        <v>0.811878786937308</v>
      </c>
      <c r="Y8" s="49" t="n">
        <f aca="false">W8-V8</f>
        <v>-18.1141516265889</v>
      </c>
      <c r="Z8" s="67"/>
      <c r="AA8" s="67"/>
      <c r="AB8" s="49"/>
      <c r="AD8" s="48" t="n">
        <f aca="false">X8</f>
        <v>0.811878786937308</v>
      </c>
      <c r="AE8" s="67" t="n">
        <f aca="false">C8*10+2731.5</f>
        <v>2481.5</v>
      </c>
      <c r="AF8" s="0" t="n">
        <v>95</v>
      </c>
      <c r="AG8" s="0" t="n">
        <f aca="false">$AD$43*AD8^3+$AE$43*AD8^2+$AF$43*AD8+$AG$43</f>
        <v>2478.76261823683</v>
      </c>
      <c r="AI8" s="48" t="n">
        <f aca="false">(AG8-AE8)/10</f>
        <v>-0.273738176317193</v>
      </c>
    </row>
    <row r="9" customFormat="false" ht="12.75" hidden="false" customHeight="false" outlineLevel="0" collapsed="false">
      <c r="B9" s="0" t="n">
        <v>5</v>
      </c>
      <c r="C9" s="26" t="n">
        <f aca="false">Digital!C9</f>
        <v>-20</v>
      </c>
      <c r="D9" s="26" t="n">
        <f aca="false">Accuracy!G8</f>
        <v>67770</v>
      </c>
      <c r="E9" s="26" t="n">
        <f aca="false">Thermistor!K9</f>
        <v>3209.49374995481</v>
      </c>
      <c r="F9" s="66" t="n">
        <f aca="false">Digital!D9</f>
        <v>0.790136411332634</v>
      </c>
      <c r="N9" s="0" t="n">
        <f aca="false">C9-0.1</f>
        <v>-20.1</v>
      </c>
      <c r="O9" s="67" t="n">
        <f aca="false">$D$18*EXP(E9*($C$18-N9)/(($C$18+273.15)*(N9+273.15)))</f>
        <v>68110.3910596815</v>
      </c>
      <c r="P9" s="48" t="n">
        <f aca="false">(O9+$H$5)/(O9+$H$5+$G$5)</f>
        <v>0.790965994016628</v>
      </c>
      <c r="Q9" s="67" t="n">
        <f aca="false">ROUND(-LN((P9-F9))/LN(2)+0.5,0)</f>
        <v>11</v>
      </c>
      <c r="R9" s="67"/>
      <c r="S9" s="48" t="n">
        <f aca="false">($A$35-$A$5)/($A$42-1)*(B9-1)+$A$5</f>
        <v>0.794666666666667</v>
      </c>
      <c r="T9" s="67" t="n">
        <f aca="false">ROUND(S9*2^15,0)</f>
        <v>26040</v>
      </c>
      <c r="U9" s="48" t="n">
        <f aca="false">P9/S9</f>
        <v>0.995343113275958</v>
      </c>
      <c r="V9" s="48" t="n">
        <f aca="false">U9*2^14</f>
        <v>16307.7015679133</v>
      </c>
      <c r="W9" s="49" t="n">
        <f aca="false">$T$43*P9^4+$U$43*P9^3+$V$43*P9^2+$W$43*P9+$X$43</f>
        <v>16300.6345904547</v>
      </c>
      <c r="X9" s="48" t="n">
        <f aca="false">P9/W9*2^14</f>
        <v>0.795011186469825</v>
      </c>
      <c r="Y9" s="49" t="n">
        <f aca="false">W9-V9</f>
        <v>-7.06697745862221</v>
      </c>
      <c r="Z9" s="67"/>
      <c r="AA9" s="67"/>
      <c r="AB9" s="49"/>
      <c r="AD9" s="48" t="n">
        <f aca="false">X9</f>
        <v>0.795011186469825</v>
      </c>
      <c r="AE9" s="67" t="n">
        <f aca="false">C9*10+2731.5</f>
        <v>2531.5</v>
      </c>
      <c r="AF9" s="0" t="n">
        <v>90</v>
      </c>
      <c r="AG9" s="0" t="n">
        <f aca="false">$AD$43*AD9^3+$AE$43*AD9^2+$AF$43*AD9+$AG$43</f>
        <v>2530.3601420601</v>
      </c>
      <c r="AI9" s="48" t="n">
        <f aca="false">(AG9-AE9)/10</f>
        <v>-0.113985793990287</v>
      </c>
    </row>
    <row r="10" customFormat="false" ht="12.75" hidden="false" customHeight="false" outlineLevel="0" collapsed="false">
      <c r="B10" s="0" t="n">
        <v>6</v>
      </c>
      <c r="C10" s="26" t="n">
        <f aca="false">Digital!C10</f>
        <v>-15</v>
      </c>
      <c r="D10" s="26" t="n">
        <f aca="false">Accuracy!G9</f>
        <v>53410</v>
      </c>
      <c r="E10" s="26" t="n">
        <f aca="false">Thermistor!K10</f>
        <v>3223.80531601859</v>
      </c>
      <c r="F10" s="66" t="n">
        <f aca="false">Digital!D10</f>
        <v>0.74793446296037</v>
      </c>
      <c r="N10" s="0" t="n">
        <f aca="false">C10-0.1</f>
        <v>-15.1</v>
      </c>
      <c r="O10" s="67" t="n">
        <f aca="false">$D$18*EXP(E10*($C$18-N10)/(($C$18+273.15)*(N10+273.15)))</f>
        <v>53669.0995636358</v>
      </c>
      <c r="P10" s="48" t="n">
        <f aca="false">(O10+$H$5)/(O10+$H$5+$G$5)</f>
        <v>0.748845735336502</v>
      </c>
      <c r="Q10" s="67" t="n">
        <f aca="false">ROUND(-LN((P10-F10))/LN(2)+0.5,0)</f>
        <v>11</v>
      </c>
      <c r="R10" s="67"/>
      <c r="S10" s="48" t="n">
        <f aca="false">($A$35-$A$5)/($A$42-1)*(B10-1)+$A$5</f>
        <v>0.778333333333333</v>
      </c>
      <c r="T10" s="67" t="n">
        <f aca="false">ROUND(S10*2^15,0)</f>
        <v>25504</v>
      </c>
      <c r="U10" s="48" t="n">
        <f aca="false">P10/S10</f>
        <v>0.962114435121844</v>
      </c>
      <c r="V10" s="48" t="n">
        <f aca="false">U10*2^14</f>
        <v>15763.2829050363</v>
      </c>
      <c r="W10" s="49" t="n">
        <f aca="false">$T$43*P10^4+$U$43*P10^3+$V$43*P10^2+$W$43*P10+$X$43</f>
        <v>15770.6772060917</v>
      </c>
      <c r="X10" s="48" t="n">
        <f aca="false">P10/W10*2^14</f>
        <v>0.777968400939316</v>
      </c>
      <c r="Y10" s="49" t="n">
        <f aca="false">W10-V10</f>
        <v>7.39430105536667</v>
      </c>
      <c r="Z10" s="67"/>
      <c r="AA10" s="67"/>
      <c r="AB10" s="49"/>
      <c r="AD10" s="48" t="n">
        <f aca="false">X10</f>
        <v>0.777968400939316</v>
      </c>
      <c r="AE10" s="67" t="n">
        <f aca="false">C10*10+2731.5</f>
        <v>2581.5</v>
      </c>
      <c r="AF10" s="0" t="n">
        <v>85</v>
      </c>
      <c r="AG10" s="0" t="n">
        <f aca="false">$AD$43*AD10^3+$AE$43*AD10^2+$AF$43*AD10+$AG$43</f>
        <v>2582.5060737765</v>
      </c>
      <c r="AI10" s="48" t="n">
        <f aca="false">(AG10-AE10)/10</f>
        <v>0.100607377650249</v>
      </c>
    </row>
    <row r="11" customFormat="false" ht="12.75" hidden="false" customHeight="false" outlineLevel="0" collapsed="false">
      <c r="B11" s="0" t="n">
        <v>7</v>
      </c>
      <c r="C11" s="26" t="n">
        <f aca="false">Digital!C11</f>
        <v>-10</v>
      </c>
      <c r="D11" s="26" t="n">
        <f aca="false">Accuracy!G10</f>
        <v>42470</v>
      </c>
      <c r="E11" s="26" t="n">
        <f aca="false">Thermistor!K11</f>
        <v>3241.92049604157</v>
      </c>
      <c r="F11" s="66" t="n">
        <f aca="false">Digital!D11</f>
        <v>0.702331734744501</v>
      </c>
      <c r="N11" s="0" t="n">
        <f aca="false">C11-0.1</f>
        <v>-10.1</v>
      </c>
      <c r="O11" s="67" t="n">
        <f aca="false">$D$18*EXP(E11*($C$18-N11)/(($C$18+273.15)*(N11+273.15)))</f>
        <v>42669.3702362926</v>
      </c>
      <c r="P11" s="48" t="n">
        <f aca="false">(O11+$H$5)/(O11+$H$5+$G$5)</f>
        <v>0.703309925092442</v>
      </c>
      <c r="Q11" s="67" t="n">
        <f aca="false">ROUND(-LN((P11-F11))/LN(2)+0.5,0)</f>
        <v>10</v>
      </c>
      <c r="R11" s="67"/>
      <c r="S11" s="48" t="n">
        <f aca="false">($A$35-$A$5)/($A$42-1)*(B11-1)+$A$5</f>
        <v>0.762</v>
      </c>
      <c r="T11" s="67" t="n">
        <f aca="false">ROUND(S11*2^15,0)</f>
        <v>24969</v>
      </c>
      <c r="U11" s="48" t="n">
        <f aca="false">P11/S11</f>
        <v>0.922978904320791</v>
      </c>
      <c r="V11" s="48" t="n">
        <f aca="false">U11*2^14</f>
        <v>15122.0863683918</v>
      </c>
      <c r="W11" s="49" t="n">
        <f aca="false">$T$43*P11^4+$U$43*P11^3+$V$43*P11^2+$W$43*P11+$X$43</f>
        <v>15135.5832716728</v>
      </c>
      <c r="X11" s="48" t="n">
        <f aca="false">P11/W11*2^14</f>
        <v>0.761320499242383</v>
      </c>
      <c r="Y11" s="49" t="n">
        <f aca="false">W11-V11</f>
        <v>13.4969032809313</v>
      </c>
      <c r="Z11" s="67"/>
      <c r="AA11" s="67"/>
      <c r="AB11" s="49"/>
      <c r="AD11" s="48" t="n">
        <f aca="false">X11</f>
        <v>0.761320499242383</v>
      </c>
      <c r="AE11" s="67" t="n">
        <f aca="false">C11*10+2731.5</f>
        <v>2631.5</v>
      </c>
      <c r="AF11" s="0" t="n">
        <v>80</v>
      </c>
      <c r="AG11" s="0" t="n">
        <f aca="false">$AD$43*AD11^3+$AE$43*AD11^2+$AF$43*AD11+$AG$43</f>
        <v>2633.45474127718</v>
      </c>
      <c r="AI11" s="48" t="n">
        <f aca="false">(AG11-AE11)/10</f>
        <v>0.195474127717853</v>
      </c>
    </row>
    <row r="12" customFormat="false" ht="12.75" hidden="false" customHeight="false" outlineLevel="0" collapsed="false">
      <c r="B12" s="0" t="n">
        <v>8</v>
      </c>
      <c r="C12" s="26" t="n">
        <f aca="false">Digital!C12</f>
        <v>-5</v>
      </c>
      <c r="D12" s="26" t="n">
        <f aca="false">Accuracy!G11</f>
        <v>33900</v>
      </c>
      <c r="E12" s="26" t="n">
        <f aca="false">Thermistor!K12</f>
        <v>3253.46789236929</v>
      </c>
      <c r="F12" s="66" t="n">
        <f aca="false">Digital!D12</f>
        <v>0.653179190751445</v>
      </c>
      <c r="N12" s="0" t="n">
        <f aca="false">C12-0.1</f>
        <v>-5.1</v>
      </c>
      <c r="O12" s="67" t="n">
        <f aca="false">$D$18*EXP(E12*($C$18-N12)/(($C$18+273.15)*(N12+273.15)))</f>
        <v>34053.7927548725</v>
      </c>
      <c r="P12" s="48" t="n">
        <f aca="false">(O12+$H$5)/(O12+$H$5+$G$5)</f>
        <v>0.654203871660916</v>
      </c>
      <c r="Q12" s="67" t="n">
        <f aca="false">ROUND(-LN((P12-F12))/LN(2)+0.5,0)</f>
        <v>10</v>
      </c>
      <c r="R12" s="67"/>
      <c r="S12" s="48" t="n">
        <f aca="false">($A$35-$A$5)/($A$42-1)*(B12-1)+$A$5</f>
        <v>0.745666666666667</v>
      </c>
      <c r="T12" s="67" t="n">
        <f aca="false">ROUND(S12*2^15,0)</f>
        <v>24434</v>
      </c>
      <c r="U12" s="48" t="n">
        <f aca="false">P12/S12</f>
        <v>0.877340909692779</v>
      </c>
      <c r="V12" s="48" t="n">
        <f aca="false">U12*2^14</f>
        <v>14374.3534644065</v>
      </c>
      <c r="W12" s="49" t="n">
        <f aca="false">$T$43*P12^4+$U$43*P12^3+$V$43*P12^2+$W$43*P12+$X$43</f>
        <v>14390.3651458218</v>
      </c>
      <c r="X12" s="48" t="n">
        <f aca="false">P12/W12*2^14</f>
        <v>0.744836988129137</v>
      </c>
      <c r="Y12" s="49" t="n">
        <f aca="false">W12-V12</f>
        <v>16.011681415348</v>
      </c>
      <c r="Z12" s="67"/>
      <c r="AA12" s="67"/>
      <c r="AB12" s="49"/>
      <c r="AD12" s="48" t="n">
        <f aca="false">X12</f>
        <v>0.744836988129137</v>
      </c>
      <c r="AE12" s="67" t="n">
        <f aca="false">C12*10+2731.5</f>
        <v>2681.5</v>
      </c>
      <c r="AF12" s="0" t="n">
        <v>75</v>
      </c>
      <c r="AG12" s="0" t="n">
        <f aca="false">$AD$43*AD12^3+$AE$43*AD12^2+$AF$43*AD12+$AG$43</f>
        <v>2683.90984206143</v>
      </c>
      <c r="AI12" s="48" t="n">
        <f aca="false">(AG12-AE12)/10</f>
        <v>0.240984206143412</v>
      </c>
    </row>
    <row r="13" customFormat="false" ht="12.75" hidden="false" customHeight="false" outlineLevel="0" collapsed="false">
      <c r="B13" s="0" t="n">
        <v>9</v>
      </c>
      <c r="C13" s="26" t="n">
        <f aca="false">Digital!C13</f>
        <v>0</v>
      </c>
      <c r="D13" s="26" t="n">
        <f aca="false">Accuracy!G12</f>
        <v>27280</v>
      </c>
      <c r="E13" s="26" t="n">
        <f aca="false">Thermistor!K13</f>
        <v>3269.21238061231</v>
      </c>
      <c r="F13" s="66" t="n">
        <f aca="false">Digital!D13</f>
        <v>0.602473498233216</v>
      </c>
      <c r="N13" s="0" t="n">
        <f aca="false">C13-0.1</f>
        <v>-0.1</v>
      </c>
      <c r="O13" s="67" t="n">
        <f aca="false">$D$18*EXP(E13*($C$18-N13)/(($C$18+273.15)*(N13+273.15)))</f>
        <v>27399.8384770454</v>
      </c>
      <c r="P13" s="48" t="n">
        <f aca="false">(O13+$H$5)/(O13+$H$5+$G$5)</f>
        <v>0.603522818498551</v>
      </c>
      <c r="Q13" s="67" t="n">
        <f aca="false">ROUND(-LN((P13-F13))/LN(2)+0.5,0)</f>
        <v>10</v>
      </c>
      <c r="R13" s="67"/>
      <c r="S13" s="48" t="n">
        <f aca="false">($A$35-$A$5)/($A$42-1)*(B13-1)+$A$5</f>
        <v>0.729333333333333</v>
      </c>
      <c r="T13" s="67" t="n">
        <f aca="false">ROUND(S13*2^15,0)</f>
        <v>23899</v>
      </c>
      <c r="U13" s="48" t="n">
        <f aca="false">P13/S13</f>
        <v>0.827499294102218</v>
      </c>
      <c r="V13" s="48" t="n">
        <f aca="false">U13*2^14</f>
        <v>13557.7484345707</v>
      </c>
      <c r="W13" s="49" t="n">
        <f aca="false">$T$43*P13^4+$U$43*P13^3+$V$43*P13^2+$W$43*P13+$X$43</f>
        <v>13567.3221105066</v>
      </c>
      <c r="X13" s="48" t="n">
        <f aca="false">P13/W13*2^14</f>
        <v>0.728818684906352</v>
      </c>
      <c r="Y13" s="49" t="n">
        <f aca="false">W13-V13</f>
        <v>9.57367593581512</v>
      </c>
      <c r="Z13" s="67"/>
      <c r="AA13" s="67"/>
      <c r="AB13" s="49"/>
      <c r="AD13" s="48" t="n">
        <f aca="false">X13</f>
        <v>0.728818684906352</v>
      </c>
      <c r="AE13" s="67" t="n">
        <f aca="false">C13*10+2731.5</f>
        <v>2731.5</v>
      </c>
      <c r="AF13" s="0" t="n">
        <v>70</v>
      </c>
      <c r="AG13" s="0" t="n">
        <f aca="false">$AD$43*AD13^3+$AE$43*AD13^2+$AF$43*AD13+$AG$43</f>
        <v>2732.94897969929</v>
      </c>
      <c r="AI13" s="48" t="n">
        <f aca="false">(AG13-AE13)/10</f>
        <v>0.144897969928616</v>
      </c>
    </row>
    <row r="14" customFormat="false" ht="12.75" hidden="false" customHeight="false" outlineLevel="0" collapsed="false">
      <c r="B14" s="0" t="n">
        <v>10</v>
      </c>
      <c r="C14" s="26" t="n">
        <f aca="false">Digital!C14</f>
        <v>5</v>
      </c>
      <c r="D14" s="26" t="n">
        <f aca="false">Accuracy!G13</f>
        <v>22050</v>
      </c>
      <c r="E14" s="26" t="n">
        <f aca="false">Thermistor!K14</f>
        <v>3278.76831976754</v>
      </c>
      <c r="F14" s="66" t="n">
        <f aca="false">Digital!D14</f>
        <v>0.550561797752809</v>
      </c>
      <c r="N14" s="0" t="n">
        <f aca="false">C14-0.1</f>
        <v>4.9</v>
      </c>
      <c r="O14" s="67" t="n">
        <f aca="false">$D$18*EXP(E14*($C$18-N14)/(($C$18+273.15)*(N14+273.15)))</f>
        <v>22143.6781420846</v>
      </c>
      <c r="P14" s="48" t="n">
        <f aca="false">(O14+$H$5)/(O14+$H$5+$G$5)</f>
        <v>0.5516105939199</v>
      </c>
      <c r="Q14" s="67" t="n">
        <f aca="false">ROUND(-LN((P14-F14))/LN(2)+0.5,0)</f>
        <v>10</v>
      </c>
      <c r="R14" s="67"/>
      <c r="S14" s="48" t="n">
        <f aca="false">($A$35-$A$5)/($A$42-1)*(B14-1)+$A$5</f>
        <v>0.713</v>
      </c>
      <c r="T14" s="67" t="n">
        <f aca="false">ROUND(S14*2^15,0)</f>
        <v>23364</v>
      </c>
      <c r="U14" s="48" t="n">
        <f aca="false">P14/S14</f>
        <v>0.773647396802103</v>
      </c>
      <c r="V14" s="48" t="n">
        <f aca="false">U14*2^14</f>
        <v>12675.4389492057</v>
      </c>
      <c r="W14" s="49" t="n">
        <f aca="false">$T$43*P14^4+$U$43*P14^3+$V$43*P14^2+$W$43*P14+$X$43</f>
        <v>12677.8383490657</v>
      </c>
      <c r="X14" s="48" t="n">
        <f aca="false">P14/W14*2^14</f>
        <v>0.712865058060126</v>
      </c>
      <c r="Y14" s="49" t="n">
        <f aca="false">W14-V14</f>
        <v>2.39939986007084</v>
      </c>
      <c r="Z14" s="67"/>
      <c r="AA14" s="67"/>
      <c r="AB14" s="49"/>
      <c r="AD14" s="48" t="n">
        <f aca="false">X14</f>
        <v>0.712865058060126</v>
      </c>
      <c r="AE14" s="67" t="n">
        <f aca="false">C14*10+2731.5</f>
        <v>2781.5</v>
      </c>
      <c r="AF14" s="0" t="n">
        <v>65</v>
      </c>
      <c r="AG14" s="0" t="n">
        <f aca="false">$AD$43*AD14^3+$AE$43*AD14^2+$AF$43*AD14+$AG$43</f>
        <v>2781.79692874664</v>
      </c>
      <c r="AI14" s="48" t="n">
        <f aca="false">(AG14-AE14)/10</f>
        <v>0.0296928746643061</v>
      </c>
    </row>
    <row r="15" customFormat="false" ht="12.75" hidden="false" customHeight="false" outlineLevel="0" collapsed="false">
      <c r="B15" s="0" t="n">
        <v>11</v>
      </c>
      <c r="C15" s="26" t="n">
        <f aca="false">Digital!C15</f>
        <v>10</v>
      </c>
      <c r="D15" s="26" t="n">
        <f aca="false">Accuracy!G14</f>
        <v>17960</v>
      </c>
      <c r="E15" s="26" t="n">
        <f aca="false">Thermistor!K15</f>
        <v>3295.588537912</v>
      </c>
      <c r="F15" s="66" t="n">
        <f aca="false">Digital!D15</f>
        <v>0.49944382647386</v>
      </c>
      <c r="N15" s="0" t="n">
        <f aca="false">C15-0.1</f>
        <v>9.9</v>
      </c>
      <c r="O15" s="67" t="n">
        <f aca="false">$D$18*EXP(E15*($C$18-N15)/(($C$18+273.15)*(N15+273.15)))</f>
        <v>18034.0035931053</v>
      </c>
      <c r="P15" s="48" t="n">
        <f aca="false">(O15+$H$5)/(O15+$H$5+$G$5)</f>
        <v>0.500471826465487</v>
      </c>
      <c r="Q15" s="67" t="n">
        <f aca="false">ROUND(-LN((P15-F15))/LN(2)+0.5,0)</f>
        <v>10</v>
      </c>
      <c r="R15" s="67"/>
      <c r="S15" s="48" t="n">
        <f aca="false">($A$35-$A$5)/($A$42-1)*(B15-1)+$A$5</f>
        <v>0.696666666666667</v>
      </c>
      <c r="T15" s="67" t="n">
        <f aca="false">ROUND(S15*2^15,0)</f>
        <v>22828</v>
      </c>
      <c r="U15" s="48" t="n">
        <f aca="false">P15/S15</f>
        <v>0.718380612151416</v>
      </c>
      <c r="V15" s="48" t="n">
        <f aca="false">U15*2^14</f>
        <v>11769.9479494888</v>
      </c>
      <c r="W15" s="49" t="n">
        <f aca="false">$T$43*P15^4+$U$43*P15^3+$V$43*P15^2+$W$43*P15+$X$43</f>
        <v>11763.3851348708</v>
      </c>
      <c r="X15" s="48" t="n">
        <f aca="false">P15/W15*2^14</f>
        <v>0.697055338305947</v>
      </c>
      <c r="Y15" s="49" t="n">
        <f aca="false">W15-V15</f>
        <v>-6.5628146179788</v>
      </c>
      <c r="Z15" s="67"/>
      <c r="AA15" s="67"/>
      <c r="AB15" s="49"/>
      <c r="AD15" s="48" t="n">
        <f aca="false">X15</f>
        <v>0.697055338305947</v>
      </c>
      <c r="AE15" s="67" t="n">
        <f aca="false">C15*10+2731.5</f>
        <v>2831.5</v>
      </c>
      <c r="AF15" s="0" t="n">
        <v>60</v>
      </c>
      <c r="AG15" s="0" t="n">
        <f aca="false">$AD$43*AD15^3+$AE$43*AD15^2+$AF$43*AD15+$AG$43</f>
        <v>2830.20995691776</v>
      </c>
      <c r="AI15" s="48" t="n">
        <f aca="false">(AG15-AE15)/10</f>
        <v>-0.129004308224421</v>
      </c>
    </row>
    <row r="16" customFormat="false" ht="12.75" hidden="false" customHeight="false" outlineLevel="0" collapsed="false">
      <c r="B16" s="0" t="n">
        <v>12</v>
      </c>
      <c r="C16" s="26" t="n">
        <f aca="false">Digital!C16</f>
        <v>15</v>
      </c>
      <c r="D16" s="26" t="n">
        <f aca="false">Accuracy!G15</f>
        <v>14690</v>
      </c>
      <c r="E16" s="26" t="n">
        <f aca="false">Thermistor!K16</f>
        <v>3304.01701464398</v>
      </c>
      <c r="F16" s="66" t="n">
        <f aca="false">Digital!D16</f>
        <v>0.44937289691037</v>
      </c>
      <c r="N16" s="0" t="n">
        <f aca="false">C16-0.1</f>
        <v>14.9</v>
      </c>
      <c r="O16" s="67" t="n">
        <f aca="false">$D$18*EXP(E16*($C$18-N16)/(($C$18+273.15)*(N16+273.15)))</f>
        <v>14748.5925291669</v>
      </c>
      <c r="P16" s="48" t="n">
        <f aca="false">(O16+$H$5)/(O16+$H$5+$G$5)</f>
        <v>0.450358057862528</v>
      </c>
      <c r="Q16" s="67" t="n">
        <f aca="false">ROUND(-LN((P16-F16))/LN(2)+0.5,0)</f>
        <v>10</v>
      </c>
      <c r="R16" s="67"/>
      <c r="S16" s="48" t="n">
        <f aca="false">($A$35-$A$5)/($A$42-1)*(B16-1)+$A$5</f>
        <v>0.680333333333333</v>
      </c>
      <c r="T16" s="67" t="n">
        <f aca="false">ROUND(S16*2^15,0)</f>
        <v>22293</v>
      </c>
      <c r="U16" s="48" t="n">
        <f aca="false">P16/S16</f>
        <v>0.661966768048792</v>
      </c>
      <c r="V16" s="48" t="n">
        <f aca="false">U16*2^14</f>
        <v>10845.6635277114</v>
      </c>
      <c r="W16" s="49" t="n">
        <f aca="false">$T$43*P16^4+$U$43*P16^3+$V$43*P16^2+$W$43*P16+$X$43</f>
        <v>10835.3438311455</v>
      </c>
      <c r="X16" s="48" t="n">
        <f aca="false">P16/W16*2^14</f>
        <v>0.68098129002701</v>
      </c>
      <c r="Y16" s="49" t="n">
        <f aca="false">W16-V16</f>
        <v>-10.3196965659154</v>
      </c>
      <c r="Z16" s="67"/>
      <c r="AA16" s="67"/>
      <c r="AB16" s="49"/>
      <c r="AD16" s="48" t="n">
        <f aca="false">X16</f>
        <v>0.68098129002701</v>
      </c>
      <c r="AE16" s="67" t="n">
        <f aca="false">C16*10+2731.5</f>
        <v>2881.5</v>
      </c>
      <c r="AF16" s="0" t="n">
        <v>55</v>
      </c>
      <c r="AG16" s="0" t="n">
        <f aca="false">$AD$43*AD16^3+$AE$43*AD16^2+$AF$43*AD16+$AG$43</f>
        <v>2879.43721500929</v>
      </c>
      <c r="AI16" s="48" t="n">
        <f aca="false">(AG16-AE16)/10</f>
        <v>-0.206278499071459</v>
      </c>
    </row>
    <row r="17" customFormat="false" ht="12.75" hidden="false" customHeight="false" outlineLevel="0" collapsed="false">
      <c r="B17" s="0" t="n">
        <v>13</v>
      </c>
      <c r="C17" s="26" t="n">
        <f aca="false">Digital!C17</f>
        <v>20</v>
      </c>
      <c r="D17" s="26" t="n">
        <f aca="false">Accuracy!G16</f>
        <v>12090</v>
      </c>
      <c r="E17" s="26" t="n">
        <f aca="false">Thermistor!K17</f>
        <v>3317.69307680286</v>
      </c>
      <c r="F17" s="66" t="n">
        <f aca="false">Digital!D17</f>
        <v>0.401794616151545</v>
      </c>
      <c r="N17" s="0" t="n">
        <f aca="false">C17-0.1</f>
        <v>19.9</v>
      </c>
      <c r="O17" s="67" t="n">
        <f aca="false">$D$18*EXP(E17*($C$18-N17)/(($C$18+273.15)*(N17+273.15)))</f>
        <v>12136.7810279731</v>
      </c>
      <c r="P17" s="48" t="n">
        <f aca="false">(O17+$H$5)/(O17+$H$5+$G$5)</f>
        <v>0.402723204469239</v>
      </c>
      <c r="Q17" s="67" t="n">
        <f aca="false">ROUND(-LN((P17-F17))/LN(2)+0.5,0)</f>
        <v>11</v>
      </c>
      <c r="R17" s="67"/>
      <c r="S17" s="48" t="n">
        <f aca="false">($A$35-$A$5)/($A$42-1)*(B17-1)+$A$5</f>
        <v>0.664</v>
      </c>
      <c r="T17" s="67" t="n">
        <f aca="false">ROUND(S17*2^15,0)</f>
        <v>21758</v>
      </c>
      <c r="U17" s="48" t="n">
        <f aca="false">P17/S17</f>
        <v>0.606510850104276</v>
      </c>
      <c r="V17" s="48" t="n">
        <f aca="false">U17*2^14</f>
        <v>9937.07376810845</v>
      </c>
      <c r="W17" s="49" t="n">
        <f aca="false">$T$43*P17^4+$U$43*P17^3+$V$43*P17^2+$W$43*P17+$X$43</f>
        <v>9926.04962421827</v>
      </c>
      <c r="X17" s="48" t="n">
        <f aca="false">P17/W17*2^14</f>
        <v>0.664737456674126</v>
      </c>
      <c r="Y17" s="49" t="n">
        <f aca="false">W17-V17</f>
        <v>-11.0241438901849</v>
      </c>
      <c r="Z17" s="67"/>
      <c r="AA17" s="67"/>
      <c r="AB17" s="49"/>
      <c r="AD17" s="48" t="n">
        <f aca="false">X17</f>
        <v>0.664737456674126</v>
      </c>
      <c r="AE17" s="67" t="n">
        <f aca="false">C17*10+2731.5</f>
        <v>2931.5</v>
      </c>
      <c r="AF17" s="0" t="n">
        <v>50</v>
      </c>
      <c r="AG17" s="0" t="n">
        <f aca="false">$AD$43*AD17^3+$AE$43*AD17^2+$AF$43*AD17+$AG$43</f>
        <v>2929.18829819097</v>
      </c>
      <c r="AI17" s="48" t="n">
        <f aca="false">(AG17-AE17)/10</f>
        <v>-0.231170180903064</v>
      </c>
    </row>
    <row r="18" customFormat="false" ht="12.75" hidden="false" customHeight="false" outlineLevel="0" collapsed="false">
      <c r="B18" s="0" t="n">
        <v>14</v>
      </c>
      <c r="C18" s="26" t="n">
        <f aca="false">Digital!C18</f>
        <v>25</v>
      </c>
      <c r="D18" s="26" t="n">
        <f aca="false">Accuracy!G17</f>
        <v>10000</v>
      </c>
      <c r="E18" s="26" t="n">
        <f aca="false">Thermistor!K18</f>
        <v>3328.82552987186</v>
      </c>
      <c r="F18" s="66" t="n">
        <f aca="false">Digital!D18</f>
        <v>0.357142857142857</v>
      </c>
      <c r="N18" s="0" t="n">
        <f aca="false">C18-0.1</f>
        <v>24.9</v>
      </c>
      <c r="O18" s="67" t="n">
        <f aca="false">$D$18*EXP(E18*($C$18-N18)/(($C$18+273.15)*(N18+273.15)))</f>
        <v>10037.5301914556</v>
      </c>
      <c r="P18" s="48" t="n">
        <f aca="false">(O18+$H$5)/(O18+$H$5+$G$5)</f>
        <v>0.358003366306299</v>
      </c>
      <c r="Q18" s="67" t="n">
        <f aca="false">ROUND(-LN((P18-F18))/LN(2)+0.5,0)</f>
        <v>11</v>
      </c>
      <c r="R18" s="67"/>
      <c r="S18" s="48" t="n">
        <f aca="false">($A$35-$A$5)/($A$42-1)*(B18-1)+$A$5</f>
        <v>0.647666666666667</v>
      </c>
      <c r="T18" s="67" t="n">
        <f aca="false">ROUND(S18*2^15,0)</f>
        <v>21223</v>
      </c>
      <c r="U18" s="48" t="n">
        <f aca="false">P18/S18</f>
        <v>0.552758671600049</v>
      </c>
      <c r="V18" s="48" t="n">
        <f aca="false">U18*2^14</f>
        <v>9056.39807549521</v>
      </c>
      <c r="W18" s="49" t="n">
        <f aca="false">$T$43*P18^4+$U$43*P18^3+$V$43*P18^2+$W$43*P18+$X$43</f>
        <v>9048.29261852229</v>
      </c>
      <c r="X18" s="48" t="n">
        <f aca="false">P18/W18*2^14</f>
        <v>0.648246846212222</v>
      </c>
      <c r="Y18" s="49" t="n">
        <f aca="false">W18-V18</f>
        <v>-8.10545697292037</v>
      </c>
      <c r="Z18" s="67"/>
      <c r="AA18" s="67"/>
      <c r="AB18" s="49"/>
      <c r="AD18" s="48" t="n">
        <f aca="false">X18</f>
        <v>0.648246846212222</v>
      </c>
      <c r="AE18" s="67" t="n">
        <f aca="false">C18*10+2731.5</f>
        <v>2981.5</v>
      </c>
      <c r="AF18" s="0" t="n">
        <v>45</v>
      </c>
      <c r="AG18" s="0" t="n">
        <f aca="false">$AD$43*AD18^3+$AE$43*AD18^2+$AF$43*AD18+$AG$43</f>
        <v>2979.69806095567</v>
      </c>
      <c r="AI18" s="48" t="n">
        <f aca="false">(AG18-AE18)/10</f>
        <v>-0.180193904432599</v>
      </c>
    </row>
    <row r="19" customFormat="false" ht="12.75" hidden="false" customHeight="false" outlineLevel="0" collapsed="false">
      <c r="B19" s="0" t="n">
        <v>15</v>
      </c>
      <c r="C19" s="26" t="n">
        <f aca="false">Digital!C19</f>
        <v>30</v>
      </c>
      <c r="D19" s="26" t="n">
        <f aca="false">Accuracy!G18</f>
        <v>8313</v>
      </c>
      <c r="E19" s="26" t="n">
        <f aca="false">Thermistor!K19</f>
        <v>3339.95798294086</v>
      </c>
      <c r="F19" s="66" t="n">
        <f aca="false">Digital!D19</f>
        <v>0.315927488313761</v>
      </c>
      <c r="N19" s="0" t="n">
        <f aca="false">C19-0.1</f>
        <v>29.9</v>
      </c>
      <c r="O19" s="67" t="n">
        <f aca="false">$D$18*EXP(E19*($C$18-N19)/(($C$18+273.15)*(N19+273.15)))</f>
        <v>8343.2772627694</v>
      </c>
      <c r="P19" s="48" t="n">
        <f aca="false">(O19+$H$5)/(O19+$H$5+$G$5)</f>
        <v>0.316713717110697</v>
      </c>
      <c r="Q19" s="67" t="n">
        <f aca="false">ROUND(-LN((P19-F19))/LN(2)+0.5,0)</f>
        <v>11</v>
      </c>
      <c r="R19" s="67"/>
      <c r="S19" s="48" t="n">
        <f aca="false">($A$35-$A$5)/($A$42-1)*(B19-1)+$A$5</f>
        <v>0.631333333333333</v>
      </c>
      <c r="T19" s="67" t="n">
        <f aca="false">ROUND(S19*2^15,0)</f>
        <v>20688</v>
      </c>
      <c r="U19" s="48" t="n">
        <f aca="false">P19/S19</f>
        <v>0.501658474832149</v>
      </c>
      <c r="V19" s="48" t="n">
        <f aca="false">U19*2^14</f>
        <v>8219.17245164993</v>
      </c>
      <c r="W19" s="49" t="n">
        <f aca="false">$T$43*P19^4+$U$43*P19^3+$V$43*P19^2+$W$43*P19+$X$43</f>
        <v>8215.72433736701</v>
      </c>
      <c r="X19" s="48" t="n">
        <f aca="false">P19/W19*2^14</f>
        <v>0.631598301995202</v>
      </c>
      <c r="Y19" s="49" t="n">
        <f aca="false">W19-V19</f>
        <v>-3.44811428292633</v>
      </c>
      <c r="Z19" s="67"/>
      <c r="AA19" s="67"/>
      <c r="AB19" s="49"/>
      <c r="AD19" s="48" t="n">
        <f aca="false">X19</f>
        <v>0.631598301995202</v>
      </c>
      <c r="AE19" s="67" t="n">
        <f aca="false">C19*10+2731.5</f>
        <v>3031.5</v>
      </c>
      <c r="AF19" s="0" t="n">
        <v>40</v>
      </c>
      <c r="AG19" s="0" t="n">
        <f aca="false">$AD$43*AD19^3+$AE$43*AD19^2+$AF$43*AD19+$AG$43</f>
        <v>3030.69334616498</v>
      </c>
      <c r="AI19" s="48" t="n">
        <f aca="false">(AG19-AE19)/10</f>
        <v>-0.0806653835017187</v>
      </c>
    </row>
    <row r="20" customFormat="false" ht="12.75" hidden="false" customHeight="false" outlineLevel="0" collapsed="false">
      <c r="B20" s="0" t="n">
        <v>16</v>
      </c>
      <c r="C20" s="26" t="n">
        <f aca="false">Digital!C20</f>
        <v>35</v>
      </c>
      <c r="D20" s="26" t="n">
        <f aca="false">Accuracy!G19</f>
        <v>6940</v>
      </c>
      <c r="E20" s="26" t="n">
        <f aca="false">Thermistor!K20</f>
        <v>3356.0376575464</v>
      </c>
      <c r="F20" s="66" t="n">
        <f aca="false">Digital!D20</f>
        <v>0.278267842822775</v>
      </c>
      <c r="N20" s="0" t="n">
        <f aca="false">C20-0.1</f>
        <v>34.9</v>
      </c>
      <c r="O20" s="67" t="n">
        <f aca="false">$D$18*EXP(E20*($C$18-N20)/(($C$18+273.15)*(N20+273.15)))</f>
        <v>6964.57937569227</v>
      </c>
      <c r="P20" s="48" t="n">
        <f aca="false">(O20+$H$5)/(O20+$H$5+$G$5)</f>
        <v>0.278978438646301</v>
      </c>
      <c r="Q20" s="67" t="n">
        <f aca="false">ROUND(-LN((P20-F20))/LN(2)+0.5,0)</f>
        <v>11</v>
      </c>
      <c r="R20" s="67"/>
      <c r="S20" s="48" t="n">
        <f aca="false">($A$35-$A$5)/($A$42-1)*(B20-1)+$A$5</f>
        <v>0.615</v>
      </c>
      <c r="T20" s="67" t="n">
        <f aca="false">ROUND(S20*2^15,0)</f>
        <v>20152</v>
      </c>
      <c r="U20" s="48" t="n">
        <f aca="false">P20/S20</f>
        <v>0.453623477473659</v>
      </c>
      <c r="V20" s="48" t="n">
        <f aca="false">U20*2^14</f>
        <v>7432.16705492844</v>
      </c>
      <c r="W20" s="49" t="n">
        <f aca="false">$T$43*P20^4+$U$43*P20^3+$V$43*P20^2+$W$43*P20+$X$43</f>
        <v>7434.12802250245</v>
      </c>
      <c r="X20" s="48" t="n">
        <f aca="false">P20/W20*2^14</f>
        <v>0.614837775855572</v>
      </c>
      <c r="Y20" s="49" t="n">
        <f aca="false">W20-V20</f>
        <v>1.96096757401392</v>
      </c>
      <c r="Z20" s="67"/>
      <c r="AA20" s="67"/>
      <c r="AB20" s="49"/>
      <c r="AD20" s="48" t="n">
        <f aca="false">X20</f>
        <v>0.614837775855572</v>
      </c>
      <c r="AE20" s="67" t="n">
        <f aca="false">C20*10+2731.5</f>
        <v>3081.5</v>
      </c>
      <c r="AF20" s="0" t="n">
        <v>35</v>
      </c>
      <c r="AG20" s="0" t="n">
        <f aca="false">$AD$43*AD20^3+$AE$43*AD20^2+$AF$43*AD20+$AG$43</f>
        <v>3082.03227443741</v>
      </c>
      <c r="AI20" s="48" t="n">
        <f aca="false">(AG20-AE20)/10</f>
        <v>0.0532274437410706</v>
      </c>
    </row>
    <row r="21" customFormat="false" ht="12.75" hidden="false" customHeight="false" outlineLevel="0" collapsed="false">
      <c r="B21" s="0" t="n">
        <v>17</v>
      </c>
      <c r="C21" s="26" t="n">
        <f aca="false">Digital!C21</f>
        <v>40</v>
      </c>
      <c r="D21" s="26" t="n">
        <f aca="false">Accuracy!G20</f>
        <v>5827</v>
      </c>
      <c r="E21" s="26" t="n">
        <f aca="false">Thermistor!K21</f>
        <v>3361.6796185953</v>
      </c>
      <c r="F21" s="66" t="n">
        <f aca="false">Digital!D21</f>
        <v>0.244554496999203</v>
      </c>
      <c r="N21" s="0" t="n">
        <f aca="false">C21-0.1</f>
        <v>39.9</v>
      </c>
      <c r="O21" s="67" t="n">
        <f aca="false">$D$18*EXP(E21*($C$18-N21)/(($C$18+273.15)*(N21+273.15)))</f>
        <v>5847.01612777129</v>
      </c>
      <c r="P21" s="48" t="n">
        <f aca="false">(O21+$H$5)/(O21+$H$5+$G$5)</f>
        <v>0.245188584451959</v>
      </c>
      <c r="Q21" s="67" t="n">
        <f aca="false">ROUND(-LN((P21-F21))/LN(2)+0.5,0)</f>
        <v>11</v>
      </c>
      <c r="R21" s="67"/>
      <c r="S21" s="48" t="n">
        <f aca="false">($A$35-$A$5)/($A$42-1)*(B21-1)+$A$5</f>
        <v>0.598666666666667</v>
      </c>
      <c r="T21" s="67" t="n">
        <f aca="false">ROUND(S21*2^15,0)</f>
        <v>19617</v>
      </c>
      <c r="U21" s="48" t="n">
        <f aca="false">P21/S21</f>
        <v>0.409557769129108</v>
      </c>
      <c r="V21" s="48" t="n">
        <f aca="false">U21*2^14</f>
        <v>6710.19448941131</v>
      </c>
      <c r="W21" s="49" t="n">
        <f aca="false">$T$43*P21^4+$U$43*P21^3+$V$43*P21^2+$W$43*P21+$X$43</f>
        <v>6715.23037472991</v>
      </c>
      <c r="X21" s="48" t="n">
        <f aca="false">P21/W21*2^14</f>
        <v>0.598217714581754</v>
      </c>
      <c r="Y21" s="49" t="n">
        <f aca="false">W21-V21</f>
        <v>5.03588531860351</v>
      </c>
      <c r="Z21" s="67"/>
      <c r="AA21" s="67"/>
      <c r="AB21" s="49"/>
      <c r="AD21" s="48" t="n">
        <f aca="false">X21</f>
        <v>0.598217714581754</v>
      </c>
      <c r="AE21" s="67" t="n">
        <f aca="false">C21*10+2731.5</f>
        <v>3131.5</v>
      </c>
      <c r="AF21" s="0" t="n">
        <v>30</v>
      </c>
      <c r="AG21" s="0" t="n">
        <f aca="false">$AD$43*AD21^3+$AE$43*AD21^2+$AF$43*AD21+$AG$43</f>
        <v>3132.94041559028</v>
      </c>
      <c r="AI21" s="48" t="n">
        <f aca="false">(AG21-AE21)/10</f>
        <v>0.144041559027937</v>
      </c>
    </row>
    <row r="22" customFormat="false" ht="12.75" hidden="false" customHeight="false" outlineLevel="0" collapsed="false">
      <c r="B22" s="0" t="n">
        <v>18</v>
      </c>
      <c r="C22" s="26" t="n">
        <f aca="false">Digital!C22</f>
        <v>45</v>
      </c>
      <c r="D22" s="26" t="n">
        <f aca="false">Accuracy!G21</f>
        <v>4911</v>
      </c>
      <c r="E22" s="26" t="n">
        <f aca="false">Thermistor!K22</f>
        <v>3372.65570130377</v>
      </c>
      <c r="F22" s="66" t="n">
        <f aca="false">Digital!D22</f>
        <v>0.214351185020296</v>
      </c>
      <c r="N22" s="0" t="n">
        <f aca="false">C22-0.1</f>
        <v>44.9</v>
      </c>
      <c r="O22" s="67" t="n">
        <f aca="false">$D$18*EXP(E22*($C$18-N22)/(($C$18+273.15)*(N22+273.15)))</f>
        <v>4927.39602543627</v>
      </c>
      <c r="P22" s="48" t="n">
        <f aca="false">(O22+$H$5)/(O22+$H$5+$G$5)</f>
        <v>0.214913024574168</v>
      </c>
      <c r="Q22" s="67" t="n">
        <f aca="false">ROUND(-LN((P22-F22))/LN(2)+0.5,0)</f>
        <v>11</v>
      </c>
      <c r="R22" s="67"/>
      <c r="S22" s="48" t="n">
        <f aca="false">($A$35-$A$5)/($A$42-1)*(B22-1)+$A$5</f>
        <v>0.582333333333333</v>
      </c>
      <c r="T22" s="67" t="n">
        <f aca="false">ROUND(S22*2^15,0)</f>
        <v>19082</v>
      </c>
      <c r="U22" s="48" t="n">
        <f aca="false">P22/S22</f>
        <v>0.36905499354465</v>
      </c>
      <c r="V22" s="48" t="n">
        <f aca="false">U22*2^14</f>
        <v>6046.59701423555</v>
      </c>
      <c r="W22" s="49" t="n">
        <f aca="false">$T$43*P22^4+$U$43*P22^3+$V$43*P22^2+$W$43*P22+$X$43</f>
        <v>6053.75688128514</v>
      </c>
      <c r="X22" s="48" t="n">
        <f aca="false">P22/W22*2^14</f>
        <v>0.581644599159336</v>
      </c>
      <c r="Y22" s="49" t="n">
        <f aca="false">W22-V22</f>
        <v>7.15986704958868</v>
      </c>
      <c r="Z22" s="67"/>
      <c r="AA22" s="67"/>
      <c r="AB22" s="49"/>
      <c r="AD22" s="48" t="n">
        <f aca="false">X22</f>
        <v>0.581644599159336</v>
      </c>
      <c r="AE22" s="67" t="n">
        <f aca="false">C22*10+2731.5</f>
        <v>3181.5</v>
      </c>
      <c r="AF22" s="0" t="n">
        <v>25</v>
      </c>
      <c r="AG22" s="0" t="n">
        <f aca="false">$AD$43*AD22^3+$AE$43*AD22^2+$AF$43*AD22+$AG$43</f>
        <v>3183.70308147607</v>
      </c>
      <c r="AI22" s="48" t="n">
        <f aca="false">(AG22-AE22)/10</f>
        <v>0.220308147606602</v>
      </c>
    </row>
    <row r="23" customFormat="false" ht="12.75" hidden="false" customHeight="false" outlineLevel="0" collapsed="false">
      <c r="B23" s="0" t="n">
        <v>19</v>
      </c>
      <c r="C23" s="26" t="n">
        <f aca="false">Digital!C23</f>
        <v>50</v>
      </c>
      <c r="D23" s="26" t="n">
        <f aca="false">Accuracy!G22</f>
        <v>4160</v>
      </c>
      <c r="E23" s="26" t="n">
        <f aca="false">Thermistor!K23</f>
        <v>3380.12865553113</v>
      </c>
      <c r="F23" s="66" t="n">
        <f aca="false">Digital!D23</f>
        <v>0.187725631768953</v>
      </c>
      <c r="N23" s="0" t="n">
        <f aca="false">C23-0.1</f>
        <v>49.9</v>
      </c>
      <c r="O23" s="67" t="n">
        <f aca="false">$D$18*EXP(E23*($C$18-N23)/(($C$18+273.15)*(N23+273.15)))</f>
        <v>4173.49136648971</v>
      </c>
      <c r="P23" s="48" t="n">
        <f aca="false">(O23+$H$5)/(O23+$H$5+$G$5)</f>
        <v>0.188219856652661</v>
      </c>
      <c r="Q23" s="67" t="n">
        <f aca="false">ROUND(-LN((P23-F23))/LN(2)+0.5,0)</f>
        <v>11</v>
      </c>
      <c r="R23" s="67"/>
      <c r="S23" s="48" t="n">
        <f aca="false">($A$35-$A$5)/($A$42-1)*(B23-1)+$A$5</f>
        <v>0.566</v>
      </c>
      <c r="T23" s="67" t="n">
        <f aca="false">ROUND(S23*2^15,0)</f>
        <v>18547</v>
      </c>
      <c r="U23" s="48" t="n">
        <f aca="false">P23/S23</f>
        <v>0.332543916347458</v>
      </c>
      <c r="V23" s="48" t="n">
        <f aca="false">U23*2^14</f>
        <v>5448.39952543675</v>
      </c>
      <c r="W23" s="49" t="n">
        <f aca="false">$T$43*P23^4+$U$43*P23^3+$V$43*P23^2+$W$43*P23+$X$43</f>
        <v>5455.21792768539</v>
      </c>
      <c r="X23" s="48" t="n">
        <f aca="false">P23/W23*2^14</f>
        <v>0.565292564344103</v>
      </c>
      <c r="Y23" s="49" t="n">
        <f aca="false">W23-V23</f>
        <v>6.81840224864482</v>
      </c>
      <c r="Z23" s="67"/>
      <c r="AA23" s="67"/>
      <c r="AB23" s="49"/>
      <c r="AD23" s="48" t="n">
        <f aca="false">X23</f>
        <v>0.565292564344103</v>
      </c>
      <c r="AE23" s="67" t="n">
        <f aca="false">C23*10+2731.5</f>
        <v>3231.5</v>
      </c>
      <c r="AF23" s="0" t="n">
        <v>20</v>
      </c>
      <c r="AG23" s="0" t="n">
        <f aca="false">$AD$43*AD23^3+$AE$43*AD23^2+$AF$43*AD23+$AG$43</f>
        <v>3233.7858289518</v>
      </c>
      <c r="AI23" s="48" t="n">
        <f aca="false">(AG23-AE23)/10</f>
        <v>0.22858289518008</v>
      </c>
    </row>
    <row r="24" customFormat="false" ht="12.75" hidden="false" customHeight="false" outlineLevel="0" collapsed="false">
      <c r="B24" s="0" t="n">
        <v>20</v>
      </c>
      <c r="C24" s="26" t="n">
        <f aca="false">Digital!C24</f>
        <v>55</v>
      </c>
      <c r="D24" s="26" t="n">
        <f aca="false">Accuracy!G23</f>
        <v>3536</v>
      </c>
      <c r="E24" s="26" t="n">
        <f aca="false">Thermistor!K24</f>
        <v>3390.37409825576</v>
      </c>
      <c r="F24" s="66" t="n">
        <f aca="false">Digital!D24</f>
        <v>0.164190193164933</v>
      </c>
      <c r="N24" s="0" t="n">
        <f aca="false">C24-0.1</f>
        <v>54.9</v>
      </c>
      <c r="O24" s="67" t="n">
        <f aca="false">$D$18*EXP(E24*($C$18-N24)/(($C$18+273.15)*(N24+273.15)))</f>
        <v>3547.15402212705</v>
      </c>
      <c r="P24" s="48" t="n">
        <f aca="false">(O24+$H$5)/(O24+$H$5+$G$5)</f>
        <v>0.164622855458518</v>
      </c>
      <c r="Q24" s="67" t="n">
        <f aca="false">ROUND(-LN((P24-F24))/LN(2)+0.5,0)</f>
        <v>12</v>
      </c>
      <c r="R24" s="67"/>
      <c r="S24" s="48" t="n">
        <f aca="false">($A$35-$A$5)/($A$42-1)*(B24-1)+$A$5</f>
        <v>0.549666666666667</v>
      </c>
      <c r="T24" s="67" t="n">
        <f aca="false">ROUND(S24*2^15,0)</f>
        <v>18011</v>
      </c>
      <c r="U24" s="48" t="n">
        <f aca="false">P24/S24</f>
        <v>0.299495795255036</v>
      </c>
      <c r="V24" s="48" t="n">
        <f aca="false">U24*2^14</f>
        <v>4906.93910945851</v>
      </c>
      <c r="W24" s="49" t="n">
        <f aca="false">$T$43*P24^4+$U$43*P24^3+$V$43*P24^2+$W$43*P24+$X$43</f>
        <v>4912.75866259141</v>
      </c>
      <c r="X24" s="48" t="n">
        <f aca="false">P24/W24*2^14</f>
        <v>0.549015542809024</v>
      </c>
      <c r="Y24" s="49" t="n">
        <f aca="false">W24-V24</f>
        <v>5.81955313290382</v>
      </c>
      <c r="Z24" s="67"/>
      <c r="AA24" s="67"/>
      <c r="AB24" s="49"/>
      <c r="AD24" s="48" t="n">
        <f aca="false">X24</f>
        <v>0.549015542809024</v>
      </c>
      <c r="AE24" s="67" t="n">
        <f aca="false">C24*10+2731.5</f>
        <v>3281.5</v>
      </c>
      <c r="AF24" s="0" t="n">
        <v>15</v>
      </c>
      <c r="AG24" s="0" t="n">
        <f aca="false">$AD$43*AD24^3+$AE$43*AD24^2+$AF$43*AD24+$AG$43</f>
        <v>3283.63501092566</v>
      </c>
      <c r="AI24" s="48" t="n">
        <f aca="false">(AG24-AE24)/10</f>
        <v>0.213501092566094</v>
      </c>
    </row>
    <row r="25" customFormat="false" ht="12.75" hidden="false" customHeight="false" outlineLevel="0" collapsed="false">
      <c r="B25" s="0" t="n">
        <v>21</v>
      </c>
      <c r="C25" s="26" t="n">
        <f aca="false">Digital!C25</f>
        <v>60</v>
      </c>
      <c r="D25" s="26" t="n">
        <f aca="false">Accuracy!G24</f>
        <v>3020</v>
      </c>
      <c r="E25" s="26" t="n">
        <f aca="false">Thermistor!K25</f>
        <v>3397.97219349093</v>
      </c>
      <c r="F25" s="66" t="n">
        <f aca="false">Digital!D25</f>
        <v>0.143672692673644</v>
      </c>
      <c r="N25" s="0" t="n">
        <f aca="false">C25-0.1</f>
        <v>59.9</v>
      </c>
      <c r="O25" s="67" t="n">
        <f aca="false">$D$18*EXP(E25*($C$18-N25)/(($C$18+273.15)*(N25+273.15)))</f>
        <v>3029.26280843857</v>
      </c>
      <c r="P25" s="48" t="n">
        <f aca="false">(O25+$H$5)/(O25+$H$5+$G$5)</f>
        <v>0.144049881160028</v>
      </c>
      <c r="Q25" s="67" t="n">
        <f aca="false">ROUND(-LN((P25-F25))/LN(2)+0.5,0)</f>
        <v>12</v>
      </c>
      <c r="R25" s="67"/>
      <c r="S25" s="48" t="n">
        <f aca="false">($A$35-$A$5)/($A$42-1)*(B25-1)+$A$5</f>
        <v>0.533333333333333</v>
      </c>
      <c r="T25" s="67" t="n">
        <f aca="false">ROUND(S25*2^15,0)</f>
        <v>17476</v>
      </c>
      <c r="U25" s="48" t="n">
        <f aca="false">P25/S25</f>
        <v>0.270093527175052</v>
      </c>
      <c r="V25" s="48" t="n">
        <f aca="false">U25*2^14</f>
        <v>4425.21234923606</v>
      </c>
      <c r="W25" s="49" t="n">
        <f aca="false">$T$43*P25^4+$U$43*P25^3+$V$43*P25^2+$W$43*P25+$X$43</f>
        <v>4428.56539110533</v>
      </c>
      <c r="X25" s="48" t="n">
        <f aca="false">P25/W25*2^14</f>
        <v>0.532929525589964</v>
      </c>
      <c r="Y25" s="49" t="n">
        <f aca="false">W25-V25</f>
        <v>3.35304186927442</v>
      </c>
      <c r="Z25" s="67"/>
      <c r="AA25" s="67"/>
      <c r="AB25" s="49"/>
      <c r="AD25" s="48" t="n">
        <f aca="false">X25</f>
        <v>0.532929525589964</v>
      </c>
      <c r="AE25" s="67" t="n">
        <f aca="false">C25*10+2731.5</f>
        <v>3331.5</v>
      </c>
      <c r="AF25" s="0" t="n">
        <v>10</v>
      </c>
      <c r="AG25" s="0" t="n">
        <f aca="false">$AD$43*AD25^3+$AE$43*AD25^2+$AF$43*AD25+$AG$43</f>
        <v>3332.89443012425</v>
      </c>
      <c r="AI25" s="48" t="n">
        <f aca="false">(AG25-AE25)/10</f>
        <v>0.139443012424817</v>
      </c>
    </row>
    <row r="26" customFormat="false" ht="12.75" hidden="false" customHeight="false" outlineLevel="0" collapsed="false">
      <c r="B26" s="0" t="n">
        <v>22</v>
      </c>
      <c r="C26" s="26" t="n">
        <f aca="false">Digital!C26</f>
        <v>65</v>
      </c>
      <c r="D26" s="26" t="n">
        <f aca="false">Accuracy!G25</f>
        <v>2588</v>
      </c>
      <c r="E26" s="26" t="n">
        <f aca="false">Thermistor!K26</f>
        <v>3406.93961990911</v>
      </c>
      <c r="F26" s="66" t="n">
        <f aca="false">Digital!D26</f>
        <v>0.125704293763357</v>
      </c>
      <c r="N26" s="0" t="n">
        <f aca="false">C26-0.1</f>
        <v>64.9</v>
      </c>
      <c r="O26" s="67" t="n">
        <f aca="false">$D$18*EXP(E26*($C$18-N26)/(($C$18+273.15)*(N26+273.15)))</f>
        <v>2595.72477293467</v>
      </c>
      <c r="P26" s="48" t="n">
        <f aca="false">(O26+$H$5)/(O26+$H$5+$G$5)</f>
        <v>0.126032213071024</v>
      </c>
      <c r="Q26" s="67" t="n">
        <f aca="false">ROUND(-LN((P26-F26))/LN(2)+0.5,0)</f>
        <v>12</v>
      </c>
      <c r="R26" s="67"/>
      <c r="S26" s="48" t="n">
        <f aca="false">($A$35-$A$5)/($A$42-1)*(B26-1)+$A$5</f>
        <v>0.517</v>
      </c>
      <c r="T26" s="67" t="n">
        <f aca="false">ROUND(S26*2^15,0)</f>
        <v>16941</v>
      </c>
      <c r="U26" s="48" t="n">
        <f aca="false">P26/S26</f>
        <v>0.243776040756332</v>
      </c>
      <c r="V26" s="48" t="n">
        <f aca="false">U26*2^14</f>
        <v>3994.02665175175</v>
      </c>
      <c r="W26" s="49" t="n">
        <f aca="false">$T$43*P26^4+$U$43*P26^3+$V$43*P26^2+$W$43*P26+$X$43</f>
        <v>3995.1478660588</v>
      </c>
      <c r="X26" s="48" t="n">
        <f aca="false">P26/W26*2^14</f>
        <v>0.516854907048205</v>
      </c>
      <c r="Y26" s="49" t="n">
        <f aca="false">W26-V26</f>
        <v>1.12121430705156</v>
      </c>
      <c r="Z26" s="67"/>
      <c r="AA26" s="67"/>
      <c r="AB26" s="49"/>
      <c r="AD26" s="48" t="n">
        <f aca="false">X26</f>
        <v>0.516854907048205</v>
      </c>
      <c r="AE26" s="67" t="n">
        <f aca="false">C26*10+2731.5</f>
        <v>3381.5</v>
      </c>
      <c r="AF26" s="0" t="n">
        <v>5</v>
      </c>
      <c r="AG26" s="0" t="n">
        <f aca="false">$AD$43*AD26^3+$AE$43*AD26^2+$AF$43*AD26+$AG$43</f>
        <v>3382.11312578815</v>
      </c>
      <c r="AI26" s="48" t="n">
        <f aca="false">(AG26-AE26)/10</f>
        <v>0.0613125788154321</v>
      </c>
    </row>
    <row r="27" customFormat="false" ht="12.75" hidden="false" customHeight="false" outlineLevel="0" collapsed="false">
      <c r="B27" s="0" t="n">
        <v>23</v>
      </c>
      <c r="C27" s="26" t="n">
        <f aca="false">Digital!C27</f>
        <v>70</v>
      </c>
      <c r="D27" s="26" t="n">
        <f aca="false">Accuracy!G26</f>
        <v>2228</v>
      </c>
      <c r="E27" s="26" t="n">
        <f aca="false">Thermistor!K27</f>
        <v>3413.70570398177</v>
      </c>
      <c r="F27" s="66" t="n">
        <f aca="false">Digital!D27</f>
        <v>0.110144354360293</v>
      </c>
      <c r="N27" s="0" t="n">
        <f aca="false">C27-0.1</f>
        <v>69.9</v>
      </c>
      <c r="O27" s="67" t="n">
        <f aca="false">$D$18*EXP(E27*($C$18-N27)/(($C$18+273.15)*(N27+273.15)))</f>
        <v>2234.4703786602</v>
      </c>
      <c r="P27" s="48" t="n">
        <f aca="false">(O27+$H$5)/(O27+$H$5+$G$5)</f>
        <v>0.110428903591009</v>
      </c>
      <c r="Q27" s="67" t="n">
        <f aca="false">ROUND(-LN((P27-F27))/LN(2)+0.5,0)</f>
        <v>12</v>
      </c>
      <c r="R27" s="67"/>
      <c r="S27" s="48" t="n">
        <f aca="false">($A$35-$A$5)/($A$42-1)*(B27-1)+$A$5</f>
        <v>0.500666666666667</v>
      </c>
      <c r="T27" s="67" t="n">
        <f aca="false">ROUND(S27*2^15,0)</f>
        <v>16406</v>
      </c>
      <c r="U27" s="48" t="n">
        <f aca="false">P27/S27</f>
        <v>0.22056372221906</v>
      </c>
      <c r="V27" s="48" t="n">
        <f aca="false">U27*2^14</f>
        <v>3613.71602483708</v>
      </c>
      <c r="W27" s="49" t="n">
        <f aca="false">$T$43*P27^4+$U$43*P27^3+$V$43*P27^2+$W$43*P27+$X$43</f>
        <v>3612.21106724112</v>
      </c>
      <c r="X27" s="48" t="n">
        <f aca="false">P27/W27*2^14</f>
        <v>0.500875259710932</v>
      </c>
      <c r="Y27" s="49" t="n">
        <f aca="false">W27-V27</f>
        <v>-1.50495759595879</v>
      </c>
      <c r="Z27" s="67"/>
      <c r="AA27" s="67"/>
      <c r="AB27" s="49"/>
      <c r="AD27" s="48" t="n">
        <f aca="false">X27</f>
        <v>0.500875259710932</v>
      </c>
      <c r="AE27" s="67" t="n">
        <f aca="false">C27*10+2731.5</f>
        <v>3431.5</v>
      </c>
      <c r="AF27" s="0" t="n">
        <v>0</v>
      </c>
      <c r="AG27" s="0" t="n">
        <f aca="false">$AD$43*AD27^3+$AE$43*AD27^2+$AF$43*AD27+$AG$43</f>
        <v>3431.03423306135</v>
      </c>
      <c r="AI27" s="48" t="n">
        <f aca="false">(AG27-AE27)/10</f>
        <v>-0.0465766938647903</v>
      </c>
    </row>
    <row r="28" customFormat="false" ht="12.75" hidden="false" customHeight="false" outlineLevel="0" collapsed="false">
      <c r="B28" s="0" t="n">
        <v>24</v>
      </c>
      <c r="C28" s="26" t="n">
        <f aca="false">Digital!C28</f>
        <v>75</v>
      </c>
      <c r="D28" s="26" t="n">
        <f aca="false">Accuracy!G27</f>
        <v>1924</v>
      </c>
      <c r="E28" s="26" t="n">
        <f aca="false">Thermistor!K28</f>
        <v>3421.64947469587</v>
      </c>
      <c r="F28" s="66" t="n">
        <f aca="false">Digital!D28</f>
        <v>0.0965669544268219</v>
      </c>
      <c r="N28" s="0" t="n">
        <f aca="false">C28-0.1</f>
        <v>74.9</v>
      </c>
      <c r="O28" s="67" t="n">
        <f aca="false">$D$18*EXP(E28*($C$18-N28)/(($C$18+273.15)*(N28+273.15)))</f>
        <v>1929.44058829132</v>
      </c>
      <c r="P28" s="48" t="n">
        <f aca="false">(O28+$H$5)/(O28+$H$5+$G$5)</f>
        <v>0.0968135848943434</v>
      </c>
      <c r="Q28" s="67" t="n">
        <f aca="false">ROUND(-LN((P28-F28))/LN(2)+0.5,0)</f>
        <v>12</v>
      </c>
      <c r="R28" s="67"/>
      <c r="S28" s="48" t="n">
        <f aca="false">($A$35-$A$5)/($A$42-1)*(B28-1)+$A$5</f>
        <v>0.484333333333333</v>
      </c>
      <c r="T28" s="67" t="n">
        <f aca="false">ROUND(S28*2^15,0)</f>
        <v>15871</v>
      </c>
      <c r="U28" s="48" t="n">
        <f aca="false">P28/S28</f>
        <v>0.19989040239713</v>
      </c>
      <c r="V28" s="48" t="n">
        <f aca="false">U28*2^14</f>
        <v>3275.00435287458</v>
      </c>
      <c r="W28" s="49" t="n">
        <f aca="false">$T$43*P28^4+$U$43*P28^3+$V$43*P28^2+$W$43*P28+$X$43</f>
        <v>3271.93063314465</v>
      </c>
      <c r="X28" s="48" t="n">
        <f aca="false">P28/W28*2^14</f>
        <v>0.484788326146277</v>
      </c>
      <c r="Y28" s="49" t="n">
        <f aca="false">W28-V28</f>
        <v>-3.07371972993451</v>
      </c>
      <c r="Z28" s="67"/>
      <c r="AA28" s="67"/>
      <c r="AB28" s="49"/>
      <c r="AD28" s="48" t="n">
        <f aca="false">X28</f>
        <v>0.484788326146277</v>
      </c>
      <c r="AE28" s="67" t="n">
        <f aca="false">C28*10+2731.5</f>
        <v>3481.5</v>
      </c>
      <c r="AF28" s="0" t="n">
        <v>-5</v>
      </c>
      <c r="AG28" s="0" t="n">
        <f aca="false">$AD$43*AD28^3+$AE$43*AD28^2+$AF$43*AD28+$AG$43</f>
        <v>3480.27590777939</v>
      </c>
      <c r="AI28" s="48" t="n">
        <f aca="false">(AG28-AE28)/10</f>
        <v>-0.122409222060878</v>
      </c>
    </row>
    <row r="29" customFormat="false" ht="12.75" hidden="false" customHeight="false" outlineLevel="0" collapsed="false">
      <c r="B29" s="0" t="n">
        <v>25</v>
      </c>
      <c r="C29" s="26" t="n">
        <f aca="false">Digital!C29</f>
        <v>80</v>
      </c>
      <c r="D29" s="26" t="n">
        <f aca="false">Accuracy!G28</f>
        <v>1668</v>
      </c>
      <c r="E29" s="26" t="n">
        <f aca="false">Thermistor!K29</f>
        <v>3428.60275582019</v>
      </c>
      <c r="F29" s="66" t="n">
        <f aca="false">Digital!D29</f>
        <v>0.0848078096400244</v>
      </c>
      <c r="N29" s="0" t="n">
        <f aca="false">C29-0.1</f>
        <v>79.9</v>
      </c>
      <c r="O29" s="67" t="n">
        <f aca="false">$D$18*EXP(E29*($C$18-N29)/(($C$18+273.15)*(N29+273.15)))</f>
        <v>1672.59319693613</v>
      </c>
      <c r="P29" s="48" t="n">
        <f aca="false">(O29+$H$5)/(O29+$H$5+$G$5)</f>
        <v>0.0850214905677316</v>
      </c>
      <c r="Q29" s="67" t="n">
        <f aca="false">ROUND(-LN((P29-F29))/LN(2)+0.5,0)</f>
        <v>13</v>
      </c>
      <c r="R29" s="67"/>
      <c r="S29" s="48" t="n">
        <f aca="false">($A$35-$A$5)/($A$42-1)*(B29-1)+$A$5</f>
        <v>0.468</v>
      </c>
      <c r="T29" s="67" t="n">
        <f aca="false">ROUND(S29*2^15,0)</f>
        <v>15335</v>
      </c>
      <c r="U29" s="48" t="n">
        <f aca="false">P29/S29</f>
        <v>0.181669851640452</v>
      </c>
      <c r="V29" s="48" t="n">
        <f aca="false">U29*2^14</f>
        <v>2976.47884927717</v>
      </c>
      <c r="W29" s="49" t="n">
        <f aca="false">$T$43*P29^4+$U$43*P29^3+$V$43*P29^2+$W$43*P29+$X$43</f>
        <v>2972.34346038344</v>
      </c>
      <c r="X29" s="48" t="n">
        <f aca="false">P29/W29*2^14</f>
        <v>0.468651123272953</v>
      </c>
      <c r="Y29" s="49" t="n">
        <f aca="false">W29-V29</f>
        <v>-4.13538889372649</v>
      </c>
      <c r="Z29" s="67"/>
      <c r="AA29" s="67"/>
      <c r="AB29" s="49"/>
      <c r="AD29" s="48" t="n">
        <f aca="false">X29</f>
        <v>0.468651123272953</v>
      </c>
      <c r="AE29" s="67" t="n">
        <f aca="false">C29*10+2731.5</f>
        <v>3531.5</v>
      </c>
      <c r="AF29" s="0" t="n">
        <v>-10</v>
      </c>
      <c r="AG29" s="0" t="n">
        <f aca="false">$AD$43*AD29^3+$AE$43*AD29^2+$AF$43*AD29+$AG$43</f>
        <v>3529.66245679505</v>
      </c>
      <c r="AI29" s="48" t="n">
        <f aca="false">(AG29-AE29)/10</f>
        <v>-0.183754320494791</v>
      </c>
    </row>
    <row r="30" customFormat="false" ht="12.75" hidden="false" customHeight="false" outlineLevel="0" collapsed="false">
      <c r="B30" s="0" t="n">
        <v>26</v>
      </c>
      <c r="C30" s="26" t="n">
        <f aca="false">Digital!C30</f>
        <v>85</v>
      </c>
      <c r="D30" s="26" t="n">
        <f aca="false">Accuracy!G29</f>
        <v>1451</v>
      </c>
      <c r="E30" s="26" t="n">
        <f aca="false">Thermistor!K30</f>
        <v>3435.42566510336</v>
      </c>
      <c r="F30" s="66" t="n">
        <f aca="false">Digital!D30</f>
        <v>0.0745977070587631</v>
      </c>
      <c r="N30" s="0" t="n">
        <f aca="false">C30-0.1</f>
        <v>84.9</v>
      </c>
      <c r="O30" s="67" t="n">
        <f aca="false">$D$18*EXP(E30*($C$18-N30)/(($C$18+273.15)*(N30+273.15)))</f>
        <v>1454.8924334941</v>
      </c>
      <c r="P30" s="48" t="n">
        <f aca="false">(O30+$H$5)/(O30+$H$5+$G$5)</f>
        <v>0.0747828567270472</v>
      </c>
      <c r="Q30" s="67" t="n">
        <f aca="false">ROUND(-LN((P30-F30))/LN(2)+0.5,0)</f>
        <v>13</v>
      </c>
      <c r="R30" s="67"/>
      <c r="S30" s="48" t="n">
        <f aca="false">($A$35-$A$5)/($A$42-1)*(B30-1)+$A$5</f>
        <v>0.451666666666667</v>
      </c>
      <c r="T30" s="67" t="n">
        <f aca="false">ROUND(S30*2^15,0)</f>
        <v>14800</v>
      </c>
      <c r="U30" s="48" t="n">
        <f aca="false">P30/S30</f>
        <v>0.165570900502687</v>
      </c>
      <c r="V30" s="48" t="n">
        <f aca="false">U30*2^14</f>
        <v>2712.71363383603</v>
      </c>
      <c r="W30" s="49" t="n">
        <f aca="false">$T$43*P30^4+$U$43*P30^3+$V$43*P30^2+$W$43*P30+$X$43</f>
        <v>2708.38062595683</v>
      </c>
      <c r="X30" s="48" t="n">
        <f aca="false">P30/W30*2^14</f>
        <v>0.45238926643964</v>
      </c>
      <c r="Y30" s="49" t="n">
        <f aca="false">W30-V30</f>
        <v>-4.33300787920462</v>
      </c>
      <c r="Z30" s="67"/>
      <c r="AA30" s="67"/>
      <c r="AB30" s="49"/>
      <c r="AD30" s="48" t="n">
        <f aca="false">X30</f>
        <v>0.45238926643964</v>
      </c>
      <c r="AE30" s="67" t="n">
        <f aca="false">C30*10+2731.5</f>
        <v>3581.5</v>
      </c>
      <c r="AF30" s="0" t="n">
        <v>-15</v>
      </c>
      <c r="AG30" s="0" t="n">
        <f aca="false">$AD$43*AD30^3+$AE$43*AD30^2+$AF$43*AD30+$AG$43</f>
        <v>3579.42031143083</v>
      </c>
      <c r="AI30" s="48" t="n">
        <f aca="false">(AG30-AE30)/10</f>
        <v>-0.207968856916932</v>
      </c>
    </row>
    <row r="31" customFormat="false" ht="12.75" hidden="false" customHeight="false" outlineLevel="0" collapsed="false">
      <c r="B31" s="0" t="n">
        <v>27</v>
      </c>
      <c r="C31" s="26" t="n">
        <f aca="false">Digital!C31</f>
        <v>90</v>
      </c>
      <c r="D31" s="26" t="n">
        <f aca="false">Accuracy!G30</f>
        <v>1266</v>
      </c>
      <c r="E31" s="26" t="n">
        <f aca="false">Thermistor!K31</f>
        <v>3442.62509087802</v>
      </c>
      <c r="F31" s="66" t="n">
        <f aca="false">Digital!D31</f>
        <v>0.0657116163189038</v>
      </c>
      <c r="N31" s="0" t="n">
        <f aca="false">C31-0.1</f>
        <v>89.9</v>
      </c>
      <c r="O31" s="67" t="n">
        <f aca="false">$D$18*EXP(E31*($C$18-N31)/(($C$18+273.15)*(N31+273.15)))</f>
        <v>1269.31007687561</v>
      </c>
      <c r="P31" s="48" t="n">
        <f aca="false">(O31+$H$5)/(O31+$H$5+$G$5)</f>
        <v>0.0658721081248707</v>
      </c>
      <c r="Q31" s="67" t="n">
        <f aca="false">ROUND(-LN((P31-F31))/LN(2)+0.5,0)</f>
        <v>13</v>
      </c>
      <c r="R31" s="67"/>
      <c r="S31" s="48" t="n">
        <f aca="false">($A$35-$A$5)/($A$42-1)*(B31-1)+$A$5</f>
        <v>0.435333333333333</v>
      </c>
      <c r="T31" s="67" t="n">
        <f aca="false">ROUND(S31*2^15,0)</f>
        <v>14265</v>
      </c>
      <c r="U31" s="48" t="n">
        <f aca="false">P31/S31</f>
        <v>0.151314184054068</v>
      </c>
      <c r="V31" s="48" t="n">
        <f aca="false">U31*2^14</f>
        <v>2479.13159154184</v>
      </c>
      <c r="W31" s="49" t="n">
        <f aca="false">$T$43*P31^4+$U$43*P31^3+$V$43*P31^2+$W$43*P31+$X$43</f>
        <v>2475.62771853924</v>
      </c>
      <c r="X31" s="48" t="n">
        <f aca="false">P31/W31*2^14</f>
        <v>0.435949481190452</v>
      </c>
      <c r="Y31" s="49" t="n">
        <f aca="false">W31-V31</f>
        <v>-3.50387300260445</v>
      </c>
      <c r="Z31" s="67"/>
      <c r="AA31" s="67"/>
      <c r="AB31" s="49"/>
      <c r="AD31" s="48" t="n">
        <f aca="false">X31</f>
        <v>0.435949481190452</v>
      </c>
      <c r="AE31" s="67" t="n">
        <f aca="false">C31*10+2731.5</f>
        <v>3631.5</v>
      </c>
      <c r="AF31" s="0" t="n">
        <v>-20</v>
      </c>
      <c r="AG31" s="0" t="n">
        <f aca="false">$AD$43*AD31^3+$AE$43*AD31^2+$AF$43*AD31+$AG$43</f>
        <v>3629.71109494262</v>
      </c>
      <c r="AI31" s="48" t="n">
        <f aca="false">(AG31-AE31)/10</f>
        <v>-0.1788905057384</v>
      </c>
    </row>
    <row r="32" customFormat="false" ht="12.75" hidden="false" customHeight="false" outlineLevel="0" collapsed="false">
      <c r="B32" s="0" t="n">
        <v>28</v>
      </c>
      <c r="C32" s="26" t="n">
        <f aca="false">Digital!C32</f>
        <v>95</v>
      </c>
      <c r="D32" s="26" t="n">
        <f aca="false">Accuracy!G31</f>
        <v>1108</v>
      </c>
      <c r="E32" s="26" t="n">
        <f aca="false">Thermistor!K32</f>
        <v>3449.76797548963</v>
      </c>
      <c r="F32" s="66" t="n">
        <f aca="false">Digital!D32</f>
        <v>0.0579861837973624</v>
      </c>
      <c r="N32" s="0" t="n">
        <f aca="false">C32-0.1</f>
        <v>94.9</v>
      </c>
      <c r="O32" s="67" t="n">
        <f aca="false">$D$18*EXP(E32*($C$18-N32)/(($C$18+273.15)*(N32+273.15)))</f>
        <v>1110.82456123066</v>
      </c>
      <c r="P32" s="48" t="n">
        <f aca="false">(O32+$H$5)/(O32+$H$5+$G$5)</f>
        <v>0.0581254125206163</v>
      </c>
      <c r="Q32" s="67" t="n">
        <f aca="false">ROUND(-LN((P32-F32))/LN(2)+0.5,0)</f>
        <v>13</v>
      </c>
      <c r="R32" s="67"/>
      <c r="S32" s="48" t="n">
        <f aca="false">($A$35-$A$5)/($A$42-1)*(B32-1)+$A$5</f>
        <v>0.419</v>
      </c>
      <c r="T32" s="67" t="n">
        <f aca="false">ROUND(S32*2^15,0)</f>
        <v>13730</v>
      </c>
      <c r="U32" s="48" t="n">
        <f aca="false">P32/S32</f>
        <v>0.138724134894072</v>
      </c>
      <c r="V32" s="48" t="n">
        <f aca="false">U32*2^14</f>
        <v>2272.85622610448</v>
      </c>
      <c r="W32" s="49" t="n">
        <f aca="false">$T$43*P32^4+$U$43*P32^3+$V$43*P32^2+$W$43*P32+$X$43</f>
        <v>2270.91385615807</v>
      </c>
      <c r="X32" s="48" t="n">
        <f aca="false">P32/W32*2^14</f>
        <v>0.419358381276921</v>
      </c>
      <c r="Y32" s="49" t="n">
        <f aca="false">W32-V32</f>
        <v>-1.94236994641415</v>
      </c>
      <c r="Z32" s="67"/>
      <c r="AA32" s="67"/>
      <c r="AB32" s="49"/>
      <c r="AD32" s="48" t="n">
        <f aca="false">X32</f>
        <v>0.419358381276921</v>
      </c>
      <c r="AE32" s="67" t="n">
        <f aca="false">C32*10+2731.5</f>
        <v>3681.5</v>
      </c>
      <c r="AF32" s="0" t="n">
        <v>-25</v>
      </c>
      <c r="AG32" s="0" t="n">
        <f aca="false">$AD$43*AD32^3+$AE$43*AD32^2+$AF$43*AD32+$AG$43</f>
        <v>3680.45191514406</v>
      </c>
      <c r="AI32" s="48" t="n">
        <f aca="false">(AG32-AE32)/10</f>
        <v>-0.104808485594094</v>
      </c>
    </row>
    <row r="33" customFormat="false" ht="12.75" hidden="false" customHeight="false" outlineLevel="0" collapsed="false">
      <c r="B33" s="0" t="n">
        <v>29</v>
      </c>
      <c r="C33" s="26" t="n">
        <f aca="false">Digital!C33</f>
        <v>100</v>
      </c>
      <c r="D33" s="26" t="n">
        <f aca="false">Accuracy!G32</f>
        <v>973.1</v>
      </c>
      <c r="E33" s="26" t="n">
        <f aca="false">Thermistor!K33</f>
        <v>3456.09453809419</v>
      </c>
      <c r="F33" s="66" t="n">
        <f aca="false">Digital!D33</f>
        <v>0.0512884030548514</v>
      </c>
      <c r="N33" s="0" t="n">
        <f aca="false">C33-0.1</f>
        <v>99.9</v>
      </c>
      <c r="O33" s="67" t="n">
        <f aca="false">$D$18*EXP(E33*($C$18-N33)/(($C$18+273.15)*(N33+273.15)))</f>
        <v>975.518977520259</v>
      </c>
      <c r="P33" s="48" t="n">
        <f aca="false">(O33+$H$5)/(O33+$H$5+$G$5)</f>
        <v>0.0514093437273535</v>
      </c>
      <c r="Q33" s="67" t="n">
        <f aca="false">ROUND(-LN((P33-F33))/LN(2)+0.5,0)</f>
        <v>14</v>
      </c>
      <c r="R33" s="67"/>
      <c r="S33" s="48" t="n">
        <f aca="false">($A$35-$A$5)/($A$42-1)*(B33-1)+$A$5</f>
        <v>0.402666666666667</v>
      </c>
      <c r="T33" s="67" t="n">
        <f aca="false">ROUND(S33*2^15,0)</f>
        <v>13195</v>
      </c>
      <c r="U33" s="48" t="n">
        <f aca="false">P33/S33</f>
        <v>0.127672211243428</v>
      </c>
      <c r="V33" s="48" t="n">
        <f aca="false">U33*2^14</f>
        <v>2091.78150901232</v>
      </c>
      <c r="W33" s="49" t="n">
        <f aca="false">$T$43*P33^4+$U$43*P33^3+$V$43*P33^2+$W$43*P33+$X$43</f>
        <v>2091.60071792281</v>
      </c>
      <c r="X33" s="48" t="n">
        <f aca="false">P33/W33*2^14</f>
        <v>0.402701471849488</v>
      </c>
      <c r="Y33" s="49" t="n">
        <f aca="false">W33-V33</f>
        <v>-0.180791089509057</v>
      </c>
      <c r="Z33" s="67"/>
      <c r="AA33" s="67"/>
      <c r="AB33" s="49"/>
      <c r="AD33" s="48" t="n">
        <f aca="false">X33</f>
        <v>0.402701471849488</v>
      </c>
      <c r="AE33" s="67" t="n">
        <f aca="false">C33*10+2731.5</f>
        <v>3731.5</v>
      </c>
      <c r="AF33" s="0" t="n">
        <v>-30</v>
      </c>
      <c r="AG33" s="0" t="n">
        <f aca="false">$AD$43*AD33^3+$AE$43*AD33^2+$AF$43*AD33+$AG$43</f>
        <v>3731.37986491651</v>
      </c>
      <c r="AI33" s="48" t="n">
        <f aca="false">(AG33-AE33)/10</f>
        <v>-0.0120135083489913</v>
      </c>
    </row>
    <row r="34" customFormat="false" ht="12.75" hidden="false" customHeight="false" outlineLevel="0" collapsed="false">
      <c r="B34" s="0" t="n">
        <v>30</v>
      </c>
      <c r="C34" s="26" t="n">
        <f aca="false">Digital!C34</f>
        <v>105</v>
      </c>
      <c r="D34" s="26" t="n">
        <f aca="false">Accuracy!G33</f>
        <v>857.2</v>
      </c>
      <c r="E34" s="26" t="n">
        <f aca="false">Thermistor!K34</f>
        <v>3462.22745708295</v>
      </c>
      <c r="F34" s="66" t="n">
        <f aca="false">Digital!D34</f>
        <v>0.0454574380077636</v>
      </c>
      <c r="N34" s="0" t="n">
        <f aca="false">C34-0.1</f>
        <v>104.9</v>
      </c>
      <c r="O34" s="67" t="n">
        <f aca="false">$D$18*EXP(E34*($C$18-N34)/(($C$18+273.15)*(N34+273.15)))</f>
        <v>859.278501822212</v>
      </c>
      <c r="P34" s="48" t="n">
        <f aca="false">(O34+$H$5)/(O34+$H$5+$G$5)</f>
        <v>0.0455626391931795</v>
      </c>
      <c r="Q34" s="67" t="n">
        <f aca="false">ROUND(-LN((P34-F34))/LN(2)+0.5,0)</f>
        <v>14</v>
      </c>
      <c r="R34" s="67"/>
      <c r="S34" s="48" t="n">
        <f aca="false">($A$35-$A$5)/($A$42-1)*(B34-1)+$A$5</f>
        <v>0.386333333333333</v>
      </c>
      <c r="T34" s="67" t="n">
        <f aca="false">ROUND(S34*2^15,0)</f>
        <v>12659</v>
      </c>
      <c r="U34" s="48" t="n">
        <f aca="false">P34/S34</f>
        <v>0.117936080741621</v>
      </c>
      <c r="V34" s="48" t="n">
        <f aca="false">U34*2^14</f>
        <v>1932.26474687072</v>
      </c>
      <c r="W34" s="49" t="n">
        <f aca="false">$T$43*P34^4+$U$43*P34^3+$V$43*P34^2+$W$43*P34+$X$43</f>
        <v>1934.07591025416</v>
      </c>
      <c r="X34" s="48" t="n">
        <f aca="false">P34/W34*2^14</f>
        <v>0.385971551883377</v>
      </c>
      <c r="Y34" s="49" t="n">
        <f aca="false">W34-V34</f>
        <v>1.81116338344532</v>
      </c>
      <c r="Z34" s="67"/>
      <c r="AA34" s="67"/>
      <c r="AB34" s="49"/>
      <c r="AD34" s="48" t="n">
        <f aca="false">X34</f>
        <v>0.385971551883377</v>
      </c>
      <c r="AE34" s="67" t="n">
        <f aca="false">C34*10+2731.5</f>
        <v>3781.5</v>
      </c>
      <c r="AF34" s="0" t="n">
        <v>-35</v>
      </c>
      <c r="AG34" s="0" t="n">
        <f aca="false">$AD$43*AD34^3+$AE$43*AD34^2+$AF$43*AD34+$AG$43</f>
        <v>3782.51561494184</v>
      </c>
      <c r="AI34" s="48" t="n">
        <f aca="false">(AG34-AE34)/10</f>
        <v>0.101561494184352</v>
      </c>
    </row>
    <row r="35" customFormat="false" ht="12.75" hidden="false" customHeight="false" outlineLevel="0" collapsed="false">
      <c r="A35" s="0" t="n">
        <v>0.37</v>
      </c>
      <c r="B35" s="0" t="n">
        <v>31</v>
      </c>
      <c r="C35" s="26" t="n">
        <f aca="false">Digital!C35</f>
        <v>110</v>
      </c>
      <c r="D35" s="26" t="n">
        <f aca="false">Accuracy!G34</f>
        <v>757.6</v>
      </c>
      <c r="E35" s="26" t="n">
        <f aca="false">Thermistor!K35</f>
        <v>3467.65222745505</v>
      </c>
      <c r="F35" s="66" t="n">
        <f aca="false">Digital!D35</f>
        <v>0.0403889623405979</v>
      </c>
      <c r="N35" s="0" t="n">
        <f aca="false">C35-0.1</f>
        <v>109.9</v>
      </c>
      <c r="O35" s="67" t="n">
        <f aca="false">$D$18*EXP(E35*($C$18-N35)/(($C$18+273.15)*(N35+273.15)))</f>
        <v>759.392108760163</v>
      </c>
      <c r="P35" s="48" t="n">
        <f aca="false">(O35+$H$5)/(O35+$H$5+$G$5)</f>
        <v>0.0404806352123503</v>
      </c>
      <c r="Q35" s="67" t="n">
        <f aca="false">ROUND(-LN((P35-F35))/LN(2)+0.5,0)</f>
        <v>14</v>
      </c>
      <c r="R35" s="67"/>
      <c r="S35" s="48" t="n">
        <f aca="false">($A$35-$A$5)/($A$42-1)*(B35-1)+$A$5</f>
        <v>0.37</v>
      </c>
      <c r="T35" s="67" t="n">
        <f aca="false">ROUND(S35*2^15,0)</f>
        <v>12124</v>
      </c>
      <c r="U35" s="48" t="n">
        <f aca="false">P35/S35</f>
        <v>0.109407122195541</v>
      </c>
      <c r="V35" s="48" t="n">
        <f aca="false">U35*2^14</f>
        <v>1792.52629005175</v>
      </c>
      <c r="W35" s="49" t="n">
        <f aca="false">$T$43*P35^4+$U$43*P35^3+$V$43*P35^2+$W$43*P35+$X$43</f>
        <v>1796.0542810644</v>
      </c>
      <c r="X35" s="48" t="n">
        <f aca="false">P35/W35*2^14</f>
        <v>0.369273208672787</v>
      </c>
      <c r="Y35" s="49" t="n">
        <f aca="false">W35-V35</f>
        <v>3.52799101265464</v>
      </c>
      <c r="Z35" s="67"/>
      <c r="AA35" s="67"/>
      <c r="AB35" s="49"/>
      <c r="AD35" s="48" t="n">
        <f aca="false">X35</f>
        <v>0.369273208672787</v>
      </c>
      <c r="AE35" s="67" t="n">
        <f aca="false">C35*10+2731.5</f>
        <v>3831.5</v>
      </c>
      <c r="AF35" s="0" t="n">
        <v>-40</v>
      </c>
      <c r="AG35" s="0" t="n">
        <f aca="false">$AD$43*AD35^3+$AE$43*AD35^2+$AF$43*AD35+$AG$43</f>
        <v>3833.53826129068</v>
      </c>
      <c r="AI35" s="48" t="n">
        <f aca="false">(AG35-AE35)/10</f>
        <v>0.203826129068239</v>
      </c>
    </row>
    <row r="36" customFormat="false" ht="12.75" hidden="false" customHeight="false" outlineLevel="0" collapsed="false">
      <c r="B36" s="0" t="n">
        <v>32</v>
      </c>
      <c r="C36" s="26" t="n">
        <f aca="false">Digital!C36</f>
        <v>115</v>
      </c>
      <c r="D36" s="26" t="n">
        <f aca="false">Accuracy!G35</f>
        <v>0</v>
      </c>
      <c r="E36" s="26" t="e">
        <f aca="false">Thermistor!K36</f>
        <v>#VALUE!</v>
      </c>
      <c r="F36" s="66" t="n">
        <f aca="false">Digital!D36</f>
        <v>0</v>
      </c>
      <c r="N36" s="0" t="n">
        <f aca="false">C36-0.1</f>
        <v>114.9</v>
      </c>
      <c r="O36" s="67" t="e">
        <f aca="false">$D$18*EXP(E36*($C$18-N36)/(($C$18+273.15)*(N36+273.15)))</f>
        <v>#VALUE!</v>
      </c>
      <c r="P36" s="48" t="e">
        <f aca="false">(O36+$H$5)/(O36+$H$5+$G$5)</f>
        <v>#VALUE!</v>
      </c>
      <c r="Q36" s="67" t="e">
        <f aca="false">ROUND(-LN((P36-F36))/LN(2)+0.5,0)</f>
        <v>#VALUE!</v>
      </c>
      <c r="R36" s="67"/>
      <c r="S36" s="48" t="n">
        <f aca="false">($A$35-$A$5)/($A$42-1)*(B36-1)+$A$5</f>
        <v>0.353666666666667</v>
      </c>
      <c r="T36" s="67" t="n">
        <f aca="false">ROUND(S36*2^15,0)</f>
        <v>11589</v>
      </c>
      <c r="U36" s="48" t="e">
        <f aca="false">P36/S36</f>
        <v>#VALUE!</v>
      </c>
      <c r="V36" s="48" t="e">
        <f aca="false">U36*2^14</f>
        <v>#VALUE!</v>
      </c>
      <c r="W36" s="49" t="e">
        <f aca="false">$T$43*P36^4+$U$43*P36^3+$V$43*P36^2+$W$43*P36+$X$43</f>
        <v>#VALUE!</v>
      </c>
      <c r="X36" s="48" t="e">
        <f aca="false">P36/W36*2^14</f>
        <v>#VALUE!</v>
      </c>
      <c r="Y36" s="49" t="e">
        <f aca="false">W36-V36</f>
        <v>#VALUE!</v>
      </c>
      <c r="Z36" s="67"/>
      <c r="AA36" s="67"/>
      <c r="AB36" s="49"/>
      <c r="AD36" s="48" t="e">
        <f aca="false">X36</f>
        <v>#VALUE!</v>
      </c>
      <c r="AE36" s="67" t="n">
        <f aca="false">C36*10+2731.5</f>
        <v>3881.5</v>
      </c>
      <c r="AF36" s="0" t="n">
        <v>-40</v>
      </c>
      <c r="AG36" s="0" t="e">
        <f aca="false">$AD$43*AD36^3+$AE$43*AD36^2+$AF$43*AD36+$AG$43</f>
        <v>#VALUE!</v>
      </c>
      <c r="AI36" s="48" t="e">
        <f aca="false">(AG36-AE36)/10</f>
        <v>#VALUE!</v>
      </c>
    </row>
    <row r="37" customFormat="false" ht="12.75" hidden="false" customHeight="false" outlineLevel="0" collapsed="false">
      <c r="B37" s="0" t="n">
        <v>33</v>
      </c>
      <c r="C37" s="26" t="n">
        <f aca="false">Digital!C37</f>
        <v>0</v>
      </c>
      <c r="D37" s="26" t="n">
        <f aca="false">Accuracy!G36</f>
        <v>0</v>
      </c>
      <c r="E37" s="26" t="e">
        <f aca="false">Thermistor!K37</f>
        <v>#VALUE!</v>
      </c>
      <c r="F37" s="66" t="n">
        <f aca="false">Digital!D37</f>
        <v>0</v>
      </c>
      <c r="N37" s="0" t="n">
        <f aca="false">C37-0.1</f>
        <v>-0.1</v>
      </c>
      <c r="O37" s="67" t="e">
        <f aca="false">$D$18*EXP(E37*($C$18-N37)/(($C$18+273.15)*(N37+273.15)))</f>
        <v>#VALUE!</v>
      </c>
      <c r="P37" s="48" t="e">
        <f aca="false">(O37+$H$5)/(O37+$H$5+$G$5)</f>
        <v>#VALUE!</v>
      </c>
      <c r="Q37" s="67" t="e">
        <f aca="false">ROUND(-LN((P37-F37))/LN(2)+0.5,0)</f>
        <v>#VALUE!</v>
      </c>
      <c r="R37" s="67"/>
      <c r="S37" s="48" t="n">
        <f aca="false">($A$35-$A$5)/($A$42-1)*(B37-1)+$A$5</f>
        <v>0.337333333333333</v>
      </c>
      <c r="T37" s="67" t="n">
        <f aca="false">ROUND(S37*2^15,0)</f>
        <v>11054</v>
      </c>
      <c r="U37" s="48" t="e">
        <f aca="false">P37/S37</f>
        <v>#VALUE!</v>
      </c>
      <c r="V37" s="48" t="e">
        <f aca="false">U37*2^14</f>
        <v>#VALUE!</v>
      </c>
      <c r="W37" s="49" t="e">
        <f aca="false">$T$43*P37^4+$U$43*P37^3+$V$43*P37^2+$W$43*P37+$X$43</f>
        <v>#VALUE!</v>
      </c>
      <c r="X37" s="48" t="e">
        <f aca="false">P37/W37*2^14</f>
        <v>#VALUE!</v>
      </c>
      <c r="Y37" s="49" t="e">
        <f aca="false">W37-V37</f>
        <v>#VALUE!</v>
      </c>
      <c r="Z37" s="67"/>
      <c r="AA37" s="67"/>
      <c r="AB37" s="49"/>
      <c r="AD37" s="48" t="e">
        <f aca="false">X37</f>
        <v>#VALUE!</v>
      </c>
      <c r="AE37" s="67" t="n">
        <f aca="false">C37*10+2731.5</f>
        <v>2731.5</v>
      </c>
      <c r="AF37" s="0" t="n">
        <v>-40</v>
      </c>
      <c r="AG37" s="0" t="e">
        <f aca="false">$AD$43*AD37^3+$AE$43*AD37^2+$AF$43*AD37+$AG$43</f>
        <v>#VALUE!</v>
      </c>
      <c r="AI37" s="48" t="e">
        <f aca="false">(AG37-AE37)/10</f>
        <v>#VALUE!</v>
      </c>
    </row>
    <row r="38" customFormat="false" ht="12.75" hidden="false" customHeight="false" outlineLevel="0" collapsed="false">
      <c r="B38" s="0" t="n">
        <v>34</v>
      </c>
      <c r="C38" s="26" t="n">
        <f aca="false">Digital!C38</f>
        <v>0</v>
      </c>
      <c r="D38" s="26" t="n">
        <f aca="false">Accuracy!G37</f>
        <v>0</v>
      </c>
      <c r="E38" s="26" t="e">
        <f aca="false">Thermistor!K38</f>
        <v>#VALUE!</v>
      </c>
      <c r="F38" s="66" t="n">
        <f aca="false">Digital!D38</f>
        <v>0</v>
      </c>
      <c r="N38" s="0" t="n">
        <f aca="false">C38-0.1</f>
        <v>-0.1</v>
      </c>
      <c r="O38" s="67" t="e">
        <f aca="false">$D$18*EXP(E38*($C$18-N38)/(($C$18+273.15)*(N38+273.15)))</f>
        <v>#VALUE!</v>
      </c>
      <c r="P38" s="48" t="e">
        <f aca="false">(O38+$H$5)/(O38+$H$5+$G$5)</f>
        <v>#VALUE!</v>
      </c>
      <c r="Q38" s="67" t="e">
        <f aca="false">ROUND(-LN((P38-F38))/LN(2)+0.5,0)</f>
        <v>#VALUE!</v>
      </c>
      <c r="R38" s="67"/>
      <c r="S38" s="48" t="n">
        <f aca="false">($A$35-$A$5)/($A$42-1)*(B38-1)+$A$5</f>
        <v>0.321</v>
      </c>
      <c r="T38" s="67" t="n">
        <f aca="false">ROUND(S38*2^15,0)</f>
        <v>10519</v>
      </c>
      <c r="U38" s="48" t="e">
        <f aca="false">P38/S38</f>
        <v>#VALUE!</v>
      </c>
      <c r="V38" s="48" t="e">
        <f aca="false">U38*2^14</f>
        <v>#VALUE!</v>
      </c>
      <c r="W38" s="49" t="e">
        <f aca="false">$T$43*P38^4+$U$43*P38^3+$V$43*P38^2+$W$43*P38+$X$43</f>
        <v>#VALUE!</v>
      </c>
      <c r="X38" s="48" t="e">
        <f aca="false">P38/W38*2^14</f>
        <v>#VALUE!</v>
      </c>
      <c r="Y38" s="49" t="e">
        <f aca="false">W38-V38</f>
        <v>#VALUE!</v>
      </c>
      <c r="Z38" s="67"/>
      <c r="AA38" s="67"/>
      <c r="AB38" s="49"/>
      <c r="AD38" s="48" t="e">
        <f aca="false">X38</f>
        <v>#VALUE!</v>
      </c>
      <c r="AE38" s="67" t="n">
        <f aca="false">C38*10+2731.5</f>
        <v>2731.5</v>
      </c>
      <c r="AF38" s="0" t="n">
        <v>-40</v>
      </c>
      <c r="AG38" s="0" t="e">
        <f aca="false">$AD$43*AD38^3+$AE$43*AD38^2+$AF$43*AD38+$AG$43</f>
        <v>#VALUE!</v>
      </c>
      <c r="AI38" s="48" t="e">
        <f aca="false">(AG38-AE38)/10</f>
        <v>#VALUE!</v>
      </c>
    </row>
    <row r="39" customFormat="false" ht="12.75" hidden="false" customHeight="false" outlineLevel="0" collapsed="false">
      <c r="B39" s="0" t="n">
        <v>35</v>
      </c>
      <c r="C39" s="26" t="n">
        <f aca="false">Digital!C39</f>
        <v>0</v>
      </c>
      <c r="D39" s="26" t="n">
        <f aca="false">Accuracy!G38</f>
        <v>0</v>
      </c>
      <c r="E39" s="26" t="e">
        <f aca="false">Thermistor!K39</f>
        <v>#VALUE!</v>
      </c>
      <c r="F39" s="66" t="n">
        <f aca="false">Digital!D39</f>
        <v>0</v>
      </c>
      <c r="N39" s="0" t="n">
        <f aca="false">C39-0.1</f>
        <v>-0.1</v>
      </c>
      <c r="O39" s="67" t="e">
        <f aca="false">$D$18*EXP(E39*($C$18-N39)/(($C$18+273.15)*(N39+273.15)))</f>
        <v>#VALUE!</v>
      </c>
      <c r="P39" s="48" t="e">
        <f aca="false">(O39+$H$5)/(O39+$H$5+$G$5)</f>
        <v>#VALUE!</v>
      </c>
      <c r="Q39" s="67" t="e">
        <f aca="false">ROUND(-LN((P39-F39))/LN(2)+0.5,0)</f>
        <v>#VALUE!</v>
      </c>
      <c r="R39" s="67"/>
      <c r="S39" s="48" t="n">
        <f aca="false">($A$35-$A$5)/($A$42-1)*(B39-1)+$A$5</f>
        <v>0.304666666666667</v>
      </c>
      <c r="T39" s="67" t="n">
        <f aca="false">ROUND(S39*2^15,0)</f>
        <v>9983</v>
      </c>
      <c r="U39" s="48" t="e">
        <f aca="false">P39/S39</f>
        <v>#VALUE!</v>
      </c>
      <c r="V39" s="48" t="e">
        <f aca="false">U39*2^14</f>
        <v>#VALUE!</v>
      </c>
      <c r="W39" s="49" t="e">
        <f aca="false">$T$43*P39^4+$U$43*P39^3+$V$43*P39^2+$W$43*P39+$X$43</f>
        <v>#VALUE!</v>
      </c>
      <c r="X39" s="48" t="e">
        <f aca="false">P39/W39*2^14</f>
        <v>#VALUE!</v>
      </c>
      <c r="Y39" s="49" t="e">
        <f aca="false">W39-V39</f>
        <v>#VALUE!</v>
      </c>
      <c r="Z39" s="67"/>
      <c r="AA39" s="67"/>
      <c r="AB39" s="49"/>
      <c r="AD39" s="48" t="e">
        <f aca="false">X39</f>
        <v>#VALUE!</v>
      </c>
      <c r="AE39" s="67" t="n">
        <f aca="false">C39*10+2731.5</f>
        <v>2731.5</v>
      </c>
      <c r="AF39" s="0" t="n">
        <v>-40</v>
      </c>
      <c r="AG39" s="0" t="e">
        <f aca="false">$AD$43*AD39^3+$AE$43*AD39^2+$AF$43*AD39+$AG$43</f>
        <v>#VALUE!</v>
      </c>
      <c r="AI39" s="48" t="e">
        <f aca="false">(AG39-AE39)/10</f>
        <v>#VALUE!</v>
      </c>
    </row>
    <row r="40" customFormat="false" ht="12.75" hidden="false" customHeight="false" outlineLevel="0" collapsed="false">
      <c r="B40" s="0" t="n">
        <v>36</v>
      </c>
      <c r="C40" s="26" t="n">
        <f aca="false">Digital!C40</f>
        <v>0</v>
      </c>
      <c r="D40" s="26" t="n">
        <f aca="false">Accuracy!G39</f>
        <v>0</v>
      </c>
      <c r="E40" s="26" t="e">
        <f aca="false">Thermistor!K40</f>
        <v>#VALUE!</v>
      </c>
      <c r="F40" s="66" t="n">
        <f aca="false">Digital!D40</f>
        <v>0</v>
      </c>
      <c r="N40" s="0" t="n">
        <f aca="false">C40-0.1</f>
        <v>-0.1</v>
      </c>
      <c r="O40" s="67" t="e">
        <f aca="false">$D$18*EXP(E40*($C$18-N40)/(($C$18+273.15)*(N40+273.15)))</f>
        <v>#VALUE!</v>
      </c>
      <c r="P40" s="48" t="e">
        <f aca="false">(O40+$H$5)/(O40+$H$5+$G$5)</f>
        <v>#VALUE!</v>
      </c>
      <c r="Q40" s="67" t="e">
        <f aca="false">ROUND(-LN((P40-F40))/LN(2)+0.5,0)</f>
        <v>#VALUE!</v>
      </c>
      <c r="R40" s="67"/>
      <c r="S40" s="48" t="n">
        <f aca="false">($A$35-$A$5)/($A$42-1)*(B40-1)+$A$5</f>
        <v>0.288333333333333</v>
      </c>
      <c r="T40" s="67" t="n">
        <f aca="false">ROUND(S40*2^15,0)</f>
        <v>9448</v>
      </c>
      <c r="U40" s="48" t="e">
        <f aca="false">P40/S40</f>
        <v>#VALUE!</v>
      </c>
      <c r="V40" s="48" t="e">
        <f aca="false">U40*2^14</f>
        <v>#VALUE!</v>
      </c>
      <c r="W40" s="49" t="e">
        <f aca="false">$T$43*P40^4+$U$43*P40^3+$V$43*P40^2+$W$43*P40+$X$43</f>
        <v>#VALUE!</v>
      </c>
      <c r="X40" s="48" t="e">
        <f aca="false">P40/W40*2^14</f>
        <v>#VALUE!</v>
      </c>
      <c r="Y40" s="49" t="e">
        <f aca="false">W40-V40</f>
        <v>#VALUE!</v>
      </c>
      <c r="Z40" s="67"/>
      <c r="AA40" s="67"/>
      <c r="AB40" s="49"/>
      <c r="AD40" s="48" t="e">
        <f aca="false">X40</f>
        <v>#VALUE!</v>
      </c>
      <c r="AE40" s="67" t="n">
        <f aca="false">C40*10+2731.5</f>
        <v>2731.5</v>
      </c>
      <c r="AF40" s="0" t="n">
        <v>-40</v>
      </c>
      <c r="AG40" s="0" t="e">
        <f aca="false">$AD$43*AD40^3+$AE$43*AD40^2+$AF$43*AD40+$AG$43</f>
        <v>#VALUE!</v>
      </c>
      <c r="AI40" s="48" t="e">
        <f aca="false">(AG40-AE40)/10</f>
        <v>#VALUE!</v>
      </c>
    </row>
    <row r="42" customFormat="false" ht="12.75" hidden="false" customHeight="false" outlineLevel="0" collapsed="false">
      <c r="A42" s="0" t="n">
        <f aca="false">MATCH(I6,C5:C40,3)</f>
        <v>31</v>
      </c>
      <c r="T42" s="68" t="s">
        <v>107</v>
      </c>
      <c r="U42" s="68" t="s">
        <v>108</v>
      </c>
      <c r="V42" s="68" t="s">
        <v>110</v>
      </c>
      <c r="W42" s="68" t="s">
        <v>112</v>
      </c>
      <c r="X42" s="68" t="s">
        <v>114</v>
      </c>
      <c r="Y42" s="3"/>
      <c r="Z42" s="3"/>
      <c r="AA42" s="3"/>
      <c r="AB42" s="3"/>
      <c r="AD42" s="0" t="s">
        <v>109</v>
      </c>
      <c r="AE42" s="0" t="s">
        <v>111</v>
      </c>
      <c r="AF42" s="0" t="s">
        <v>113</v>
      </c>
      <c r="AG42" s="0" t="s">
        <v>135</v>
      </c>
    </row>
    <row r="43" customFormat="false" ht="12.75" hidden="false" customHeight="false" outlineLevel="0" collapsed="false">
      <c r="T43" s="68" t="n">
        <f aca="true" t="array" ref="T43:X43">LINEST(INDIRECT(L5):INDIRECT(L6),INDIRECT(K5):INDIRECT(K6)^{1,2,3,4},TRUE(),TRUE())</f>
        <v>-16010.9251617039</v>
      </c>
      <c r="U43" s="68" t="n">
        <v>27432.2934167897</v>
      </c>
      <c r="V43" s="68" t="n">
        <v>-23369.8557609271</v>
      </c>
      <c r="W43" s="68" t="n">
        <v>29022.3373681256</v>
      </c>
      <c r="X43" s="68" t="n">
        <v>657.730662855421</v>
      </c>
      <c r="Y43" s="3"/>
      <c r="Z43" s="3"/>
      <c r="AA43" s="3"/>
      <c r="AB43" s="3"/>
      <c r="AD43" s="68" t="n">
        <f aca="true" t="array" ref="AD43:AG43">LINEST(INDIRECT(AB5):INDIRECT(AB6),INDIRECT(AA5):INDIRECT(AA6)^{1,2,3},TRUE(),TRUE())</f>
        <v>41.880256384454</v>
      </c>
      <c r="AE43" s="68" t="n">
        <v>-78.2120485911335</v>
      </c>
      <c r="AF43" s="68" t="n">
        <v>-3014.4013074906</v>
      </c>
      <c r="AG43" s="68" t="n">
        <v>4955.23222646578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F0"/>
    <pageSetUpPr fitToPage="false"/>
  </sheetPr>
  <dimension ref="B2:R4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4" activeCellId="0" sqref="C4"/>
    </sheetView>
  </sheetViews>
  <sheetFormatPr defaultColWidth="8.6796875" defaultRowHeight="12.75" customHeight="true" zeroHeight="false" outlineLevelRow="0" outlineLevelCol="0"/>
  <sheetData>
    <row r="2" customFormat="false" ht="12.75" hidden="false" customHeight="false" outlineLevel="0" collapsed="false">
      <c r="B2" s="3" t="s">
        <v>6</v>
      </c>
      <c r="C2" s="3" t="s">
        <v>7</v>
      </c>
      <c r="F2" s="3" t="s">
        <v>6</v>
      </c>
      <c r="G2" s="3" t="s">
        <v>7</v>
      </c>
      <c r="O2" s="3"/>
      <c r="P2" s="3" t="s">
        <v>6</v>
      </c>
      <c r="Q2" s="3" t="s">
        <v>7</v>
      </c>
      <c r="R2" s="3"/>
    </row>
    <row r="3" customFormat="false" ht="12.75" hidden="false" customHeight="false" outlineLevel="0" collapsed="false">
      <c r="C3" s="0" t="s">
        <v>136</v>
      </c>
      <c r="G3" s="0" t="s">
        <v>137</v>
      </c>
      <c r="L3" s="0" t="s">
        <v>138</v>
      </c>
      <c r="Q3" s="2" t="s">
        <v>139</v>
      </c>
    </row>
    <row r="4" customFormat="false" ht="12.75" hidden="false" customHeight="false" outlineLevel="0" collapsed="false">
      <c r="B4" s="68" t="n">
        <v>-40</v>
      </c>
      <c r="C4" s="10" t="n">
        <v>188500</v>
      </c>
      <c r="F4" s="68" t="n">
        <v>-40</v>
      </c>
      <c r="G4" s="10"/>
      <c r="K4" s="68" t="n">
        <v>-40</v>
      </c>
      <c r="L4" s="10" t="n">
        <v>101275</v>
      </c>
      <c r="P4" s="68" t="n">
        <v>-40</v>
      </c>
      <c r="Q4" s="69" t="n">
        <v>336500</v>
      </c>
    </row>
    <row r="5" customFormat="false" ht="12.75" hidden="false" customHeight="false" outlineLevel="0" collapsed="false">
      <c r="B5" s="68" t="n">
        <v>-35</v>
      </c>
      <c r="C5" s="10" t="n">
        <v>144100</v>
      </c>
      <c r="F5" s="68" t="n">
        <v>-35</v>
      </c>
      <c r="G5" s="10"/>
      <c r="K5" s="68" t="n">
        <v>-35</v>
      </c>
      <c r="L5" s="10" t="n">
        <v>76325</v>
      </c>
      <c r="P5" s="68" t="n">
        <v>-35</v>
      </c>
      <c r="Q5" s="69" t="n">
        <v>242600</v>
      </c>
    </row>
    <row r="6" customFormat="false" ht="12.75" hidden="false" customHeight="false" outlineLevel="0" collapsed="false">
      <c r="B6" s="68" t="n">
        <v>-30</v>
      </c>
      <c r="C6" s="10" t="n">
        <v>111300</v>
      </c>
      <c r="F6" s="68" t="n">
        <v>-30</v>
      </c>
      <c r="G6" s="10"/>
      <c r="K6" s="68" t="n">
        <v>-30</v>
      </c>
      <c r="L6" s="10" t="n">
        <v>58034</v>
      </c>
      <c r="P6" s="68" t="n">
        <v>-30</v>
      </c>
      <c r="Q6" s="69" t="n">
        <v>177000</v>
      </c>
    </row>
    <row r="7" customFormat="false" ht="12.75" hidden="false" customHeight="false" outlineLevel="0" collapsed="false">
      <c r="B7" s="68" t="n">
        <v>-25</v>
      </c>
      <c r="C7" s="10" t="n">
        <v>86430</v>
      </c>
      <c r="F7" s="68" t="n">
        <v>-25</v>
      </c>
      <c r="G7" s="10"/>
      <c r="K7" s="68" t="n">
        <v>-25</v>
      </c>
      <c r="L7" s="10" t="n">
        <v>44505</v>
      </c>
      <c r="P7" s="68" t="n">
        <v>-25</v>
      </c>
      <c r="Q7" s="69" t="n">
        <v>130400</v>
      </c>
    </row>
    <row r="8" customFormat="false" ht="12.75" hidden="false" customHeight="false" outlineLevel="0" collapsed="false">
      <c r="B8" s="68" t="n">
        <v>-20</v>
      </c>
      <c r="C8" s="10" t="n">
        <v>67770</v>
      </c>
      <c r="F8" s="68" t="n">
        <v>-20</v>
      </c>
      <c r="G8" s="10" t="n">
        <v>74890</v>
      </c>
      <c r="K8" s="68" t="n">
        <v>-20</v>
      </c>
      <c r="L8" s="10" t="n">
        <v>34413</v>
      </c>
      <c r="P8" s="68" t="n">
        <v>-20</v>
      </c>
      <c r="Q8" s="69" t="n">
        <v>97070</v>
      </c>
    </row>
    <row r="9" customFormat="false" ht="12.75" hidden="false" customHeight="false" outlineLevel="0" collapsed="false">
      <c r="B9" s="68" t="n">
        <v>-15</v>
      </c>
      <c r="C9" s="10" t="n">
        <v>53410</v>
      </c>
      <c r="F9" s="68" t="n">
        <v>-15</v>
      </c>
      <c r="G9" s="10" t="n">
        <v>57980</v>
      </c>
      <c r="K9" s="68" t="n">
        <v>-15</v>
      </c>
      <c r="L9" s="10" t="n">
        <v>26821</v>
      </c>
      <c r="P9" s="68" t="n">
        <v>-15</v>
      </c>
      <c r="Q9" s="69" t="n">
        <v>72930</v>
      </c>
    </row>
    <row r="10" customFormat="false" ht="12.75" hidden="false" customHeight="false" outlineLevel="0" collapsed="false">
      <c r="B10" s="68" t="n">
        <v>-10</v>
      </c>
      <c r="C10" s="10" t="n">
        <v>42470</v>
      </c>
      <c r="F10" s="68" t="n">
        <v>-10</v>
      </c>
      <c r="G10" s="10" t="n">
        <v>45310</v>
      </c>
      <c r="K10" s="68" t="n">
        <v>-10</v>
      </c>
      <c r="L10" s="10" t="n">
        <v>21065</v>
      </c>
      <c r="P10" s="68" t="n">
        <v>-10</v>
      </c>
      <c r="Q10" s="69" t="n">
        <v>55330</v>
      </c>
    </row>
    <row r="11" customFormat="false" ht="12.75" hidden="false" customHeight="false" outlineLevel="0" collapsed="false">
      <c r="B11" s="68" t="n">
        <v>-5</v>
      </c>
      <c r="C11" s="10" t="n">
        <v>33900</v>
      </c>
      <c r="F11" s="68" t="n">
        <v>-5</v>
      </c>
      <c r="G11" s="10" t="n">
        <v>35720</v>
      </c>
      <c r="K11" s="68" t="n">
        <v>-5</v>
      </c>
      <c r="L11" s="10" t="n">
        <v>16667</v>
      </c>
      <c r="P11" s="68" t="n">
        <v>-5</v>
      </c>
      <c r="Q11" s="69" t="n">
        <v>42320</v>
      </c>
    </row>
    <row r="12" customFormat="false" ht="12.75" hidden="false" customHeight="false" outlineLevel="0" collapsed="false">
      <c r="B12" s="68" t="n">
        <v>0</v>
      </c>
      <c r="C12" s="10" t="n">
        <v>27280</v>
      </c>
      <c r="F12" s="68" t="n">
        <v>0</v>
      </c>
      <c r="G12" s="10" t="n">
        <v>28380</v>
      </c>
      <c r="K12" s="68" t="n">
        <v>0</v>
      </c>
      <c r="L12" s="10" t="n">
        <v>13280</v>
      </c>
      <c r="P12" s="68" t="n">
        <v>0</v>
      </c>
      <c r="Q12" s="69" t="n">
        <v>32650</v>
      </c>
    </row>
    <row r="13" customFormat="false" ht="12.75" hidden="false" customHeight="false" outlineLevel="0" collapsed="false">
      <c r="B13" s="68" t="n">
        <v>5</v>
      </c>
      <c r="C13" s="10" t="n">
        <v>22050</v>
      </c>
      <c r="F13" s="68" t="n">
        <v>5</v>
      </c>
      <c r="G13" s="10" t="n">
        <v>22720</v>
      </c>
      <c r="K13" s="68" t="n">
        <v>5</v>
      </c>
      <c r="L13" s="10" t="n">
        <v>10654</v>
      </c>
      <c r="P13" s="68" t="n">
        <v>5</v>
      </c>
      <c r="Q13" s="69" t="n">
        <v>25390</v>
      </c>
    </row>
    <row r="14" customFormat="false" ht="12.75" hidden="false" customHeight="false" outlineLevel="0" collapsed="false">
      <c r="B14" s="68" t="n">
        <v>10</v>
      </c>
      <c r="C14" s="10" t="n">
        <v>17960</v>
      </c>
      <c r="F14" s="68" t="n">
        <v>10</v>
      </c>
      <c r="G14" s="10" t="n">
        <v>18320</v>
      </c>
      <c r="K14" s="68" t="n">
        <v>10</v>
      </c>
      <c r="L14" s="10" t="n">
        <v>8603.2</v>
      </c>
      <c r="P14" s="68" t="n">
        <v>10</v>
      </c>
      <c r="Q14" s="69" t="n">
        <v>19900</v>
      </c>
    </row>
    <row r="15" customFormat="false" ht="12.75" hidden="false" customHeight="false" outlineLevel="0" collapsed="false">
      <c r="B15" s="68" t="n">
        <v>15</v>
      </c>
      <c r="C15" s="10" t="n">
        <v>14690</v>
      </c>
      <c r="F15" s="68" t="n">
        <v>15</v>
      </c>
      <c r="G15" s="10" t="n">
        <v>14880</v>
      </c>
      <c r="K15" s="68" t="n">
        <v>15</v>
      </c>
      <c r="L15" s="10" t="n">
        <v>6991.1</v>
      </c>
      <c r="P15" s="68" t="n">
        <v>15</v>
      </c>
      <c r="Q15" s="69" t="n">
        <v>15710</v>
      </c>
    </row>
    <row r="16" customFormat="false" ht="12.75" hidden="false" customHeight="false" outlineLevel="0" collapsed="false">
      <c r="B16" s="68" t="n">
        <v>20</v>
      </c>
      <c r="C16" s="10" t="n">
        <v>12090</v>
      </c>
      <c r="F16" s="68" t="n">
        <v>20</v>
      </c>
      <c r="G16" s="10" t="n">
        <v>12160</v>
      </c>
      <c r="K16" s="68" t="n">
        <v>20</v>
      </c>
      <c r="L16" s="10" t="n">
        <v>5715.6</v>
      </c>
      <c r="P16" s="68" t="n">
        <v>20</v>
      </c>
      <c r="Q16" s="69" t="n">
        <v>12490</v>
      </c>
    </row>
    <row r="17" customFormat="false" ht="12.75" hidden="false" customHeight="false" outlineLevel="0" collapsed="false">
      <c r="B17" s="68" t="n">
        <v>25</v>
      </c>
      <c r="C17" s="10" t="n">
        <v>10000</v>
      </c>
      <c r="F17" s="68" t="n">
        <v>25</v>
      </c>
      <c r="G17" s="10" t="n">
        <v>10000</v>
      </c>
      <c r="K17" s="68" t="n">
        <v>25</v>
      </c>
      <c r="L17" s="10" t="n">
        <v>4700</v>
      </c>
      <c r="P17" s="68" t="n">
        <v>25</v>
      </c>
      <c r="Q17" s="69" t="n">
        <v>10000</v>
      </c>
    </row>
    <row r="18" customFormat="false" ht="12.75" hidden="false" customHeight="false" outlineLevel="0" collapsed="false">
      <c r="B18" s="68" t="n">
        <v>30</v>
      </c>
      <c r="C18" s="10" t="n">
        <v>8313</v>
      </c>
      <c r="F18" s="68" t="n">
        <v>30</v>
      </c>
      <c r="G18" s="10" t="n">
        <v>8272</v>
      </c>
      <c r="K18" s="68" t="n">
        <v>30</v>
      </c>
      <c r="L18" s="10" t="n">
        <v>3886.6</v>
      </c>
      <c r="P18" s="68" t="n">
        <v>30</v>
      </c>
      <c r="Q18" s="69" t="n">
        <v>8057</v>
      </c>
    </row>
    <row r="19" customFormat="false" ht="12.75" hidden="false" customHeight="false" outlineLevel="0" collapsed="false">
      <c r="B19" s="68" t="n">
        <v>35</v>
      </c>
      <c r="C19" s="10" t="n">
        <v>6940</v>
      </c>
      <c r="F19" s="68" t="n">
        <v>35</v>
      </c>
      <c r="G19" s="10" t="n">
        <v>6881</v>
      </c>
      <c r="K19" s="68" t="n">
        <v>35</v>
      </c>
      <c r="L19" s="10" t="n">
        <v>3231.2</v>
      </c>
      <c r="P19" s="68" t="n">
        <v>35</v>
      </c>
      <c r="Q19" s="69" t="n">
        <v>6531</v>
      </c>
    </row>
    <row r="20" customFormat="false" ht="12.75" hidden="false" customHeight="false" outlineLevel="0" collapsed="false">
      <c r="B20" s="68" t="n">
        <v>40</v>
      </c>
      <c r="C20" s="10" t="n">
        <v>5827</v>
      </c>
      <c r="F20" s="68" t="n">
        <v>40</v>
      </c>
      <c r="G20" s="10" t="n">
        <v>5754</v>
      </c>
      <c r="K20" s="68" t="n">
        <v>40</v>
      </c>
      <c r="L20" s="10" t="n">
        <v>2700.3</v>
      </c>
      <c r="P20" s="68" t="n">
        <v>40</v>
      </c>
      <c r="Q20" s="69" t="n">
        <v>5327</v>
      </c>
    </row>
    <row r="21" customFormat="false" ht="12.75" hidden="false" customHeight="false" outlineLevel="0" collapsed="false">
      <c r="B21" s="68" t="n">
        <v>45</v>
      </c>
      <c r="C21" s="10" t="n">
        <v>4911</v>
      </c>
      <c r="F21" s="68" t="n">
        <v>45</v>
      </c>
      <c r="G21" s="10" t="n">
        <v>4837</v>
      </c>
      <c r="K21" s="68" t="n">
        <v>45</v>
      </c>
      <c r="L21" s="10" t="n">
        <v>2267.9</v>
      </c>
      <c r="P21" s="68" t="n">
        <v>45</v>
      </c>
      <c r="Q21" s="69" t="n">
        <v>4369</v>
      </c>
    </row>
    <row r="22" customFormat="false" ht="12.75" hidden="false" customHeight="false" outlineLevel="0" collapsed="false">
      <c r="B22" s="68" t="n">
        <v>50</v>
      </c>
      <c r="C22" s="10" t="n">
        <v>4160</v>
      </c>
      <c r="F22" s="68" t="n">
        <v>50</v>
      </c>
      <c r="G22" s="10" t="n">
        <v>4085</v>
      </c>
      <c r="K22" s="68" t="n">
        <v>50</v>
      </c>
      <c r="L22" s="10" t="n">
        <v>1913.9</v>
      </c>
      <c r="P22" s="68" t="n">
        <v>50</v>
      </c>
      <c r="Q22" s="69" t="n">
        <v>3603</v>
      </c>
    </row>
    <row r="23" customFormat="false" ht="12.75" hidden="false" customHeight="false" outlineLevel="0" collapsed="false">
      <c r="B23" s="68" t="n">
        <v>55</v>
      </c>
      <c r="C23" s="10" t="n">
        <v>3536</v>
      </c>
      <c r="F23" s="68" t="n">
        <v>55</v>
      </c>
      <c r="G23" s="10" t="n">
        <v>3466</v>
      </c>
      <c r="K23" s="68" t="n">
        <v>55</v>
      </c>
      <c r="L23" s="10" t="n">
        <v>1622.6</v>
      </c>
      <c r="P23" s="68" t="n">
        <v>55</v>
      </c>
      <c r="Q23" s="69" t="n">
        <v>2986</v>
      </c>
    </row>
    <row r="24" customFormat="false" ht="12.75" hidden="false" customHeight="false" outlineLevel="0" collapsed="false">
      <c r="B24" s="68" t="n">
        <v>60</v>
      </c>
      <c r="C24" s="10" t="n">
        <v>3020</v>
      </c>
      <c r="F24" s="68" t="n">
        <v>60</v>
      </c>
      <c r="G24" s="10" t="n">
        <v>2955</v>
      </c>
      <c r="K24" s="68" t="n">
        <v>60</v>
      </c>
      <c r="L24" s="10" t="n">
        <v>1381.7</v>
      </c>
      <c r="P24" s="68" t="n">
        <v>60</v>
      </c>
      <c r="Q24" s="69" t="n">
        <v>2488</v>
      </c>
    </row>
    <row r="25" customFormat="false" ht="12.75" hidden="false" customHeight="false" outlineLevel="0" collapsed="false">
      <c r="B25" s="68" t="n">
        <v>65</v>
      </c>
      <c r="C25" s="10" t="n">
        <v>2588</v>
      </c>
      <c r="F25" s="68" t="n">
        <v>65</v>
      </c>
      <c r="G25" s="10" t="n">
        <v>2530</v>
      </c>
      <c r="K25" s="68" t="n">
        <v>65</v>
      </c>
      <c r="L25" s="10" t="n">
        <v>1181.7</v>
      </c>
      <c r="P25" s="68" t="n">
        <v>65</v>
      </c>
      <c r="Q25" s="69" t="n">
        <v>2083</v>
      </c>
    </row>
    <row r="26" customFormat="false" ht="12.75" hidden="false" customHeight="false" outlineLevel="0" collapsed="false">
      <c r="B26" s="68" t="n">
        <v>70</v>
      </c>
      <c r="C26" s="10" t="n">
        <v>2228</v>
      </c>
      <c r="F26" s="68" t="n">
        <v>70</v>
      </c>
      <c r="G26" s="10" t="n">
        <v>2174</v>
      </c>
      <c r="K26" s="68" t="n">
        <v>70</v>
      </c>
      <c r="L26" s="10" t="n">
        <v>1014.7</v>
      </c>
      <c r="P26" s="68" t="n">
        <v>70</v>
      </c>
      <c r="Q26" s="69" t="n">
        <v>1752</v>
      </c>
    </row>
    <row r="27" customFormat="false" ht="12.75" hidden="false" customHeight="false" outlineLevel="0" collapsed="false">
      <c r="B27" s="68" t="n">
        <v>75</v>
      </c>
      <c r="C27" s="10" t="n">
        <v>1924</v>
      </c>
      <c r="F27" s="68" t="n">
        <v>75</v>
      </c>
      <c r="G27" s="10" t="n">
        <v>1876</v>
      </c>
      <c r="K27" s="68" t="n">
        <v>75</v>
      </c>
      <c r="L27" s="10" t="n">
        <v>874.85</v>
      </c>
      <c r="P27" s="68" t="n">
        <v>75</v>
      </c>
      <c r="Q27" s="69" t="n">
        <v>1481</v>
      </c>
    </row>
    <row r="28" customFormat="false" ht="12.75" hidden="false" customHeight="false" outlineLevel="0" collapsed="false">
      <c r="B28" s="68" t="n">
        <v>80</v>
      </c>
      <c r="C28" s="10" t="n">
        <v>1668</v>
      </c>
      <c r="F28" s="68" t="n">
        <v>80</v>
      </c>
      <c r="G28" s="10" t="n">
        <v>1624</v>
      </c>
      <c r="K28" s="68" t="n">
        <v>80</v>
      </c>
      <c r="L28" s="10" t="n">
        <v>757.13</v>
      </c>
      <c r="P28" s="68" t="n">
        <v>80</v>
      </c>
      <c r="Q28" s="69" t="n">
        <v>1258</v>
      </c>
    </row>
    <row r="29" customFormat="false" ht="12.75" hidden="false" customHeight="false" outlineLevel="0" collapsed="false">
      <c r="B29" s="68" t="n">
        <v>85</v>
      </c>
      <c r="C29" s="10" t="n">
        <v>1451</v>
      </c>
      <c r="F29" s="68" t="n">
        <v>85</v>
      </c>
      <c r="G29" s="10"/>
      <c r="K29" s="68" t="n">
        <v>85</v>
      </c>
      <c r="L29" s="10" t="n">
        <v>657.67</v>
      </c>
      <c r="P29" s="68" t="n">
        <v>85</v>
      </c>
      <c r="Q29" s="69" t="n">
        <v>1072</v>
      </c>
    </row>
    <row r="30" customFormat="false" ht="12.75" hidden="false" customHeight="false" outlineLevel="0" collapsed="false">
      <c r="B30" s="68" t="n">
        <v>90</v>
      </c>
      <c r="C30" s="10" t="n">
        <v>1266</v>
      </c>
      <c r="F30" s="68" t="n">
        <v>90</v>
      </c>
      <c r="G30" s="10"/>
      <c r="K30" s="68" t="n">
        <v>90</v>
      </c>
      <c r="L30" s="10" t="n">
        <v>573.31</v>
      </c>
      <c r="P30" s="68" t="n">
        <v>90</v>
      </c>
      <c r="Q30" s="69" t="n">
        <v>917.7</v>
      </c>
    </row>
    <row r="31" customFormat="false" ht="12.75" hidden="false" customHeight="false" outlineLevel="0" collapsed="false">
      <c r="B31" s="68" t="n">
        <v>95</v>
      </c>
      <c r="C31" s="10" t="n">
        <v>1108</v>
      </c>
      <c r="F31" s="68" t="n">
        <v>95</v>
      </c>
      <c r="G31" s="10"/>
      <c r="K31" s="68" t="n">
        <v>95</v>
      </c>
      <c r="L31" s="10" t="n">
        <v>501.48</v>
      </c>
      <c r="P31" s="68" t="n">
        <v>95</v>
      </c>
      <c r="Q31" s="69" t="n">
        <v>788.5</v>
      </c>
    </row>
    <row r="32" customFormat="false" ht="12.75" hidden="false" customHeight="false" outlineLevel="0" collapsed="false">
      <c r="B32" s="68" t="n">
        <v>100</v>
      </c>
      <c r="C32" s="10" t="n">
        <v>973.1</v>
      </c>
      <c r="F32" s="68" t="n">
        <v>100</v>
      </c>
      <c r="G32" s="10"/>
      <c r="K32" s="68" t="n">
        <v>100</v>
      </c>
      <c r="L32" s="10" t="n">
        <v>440.1</v>
      </c>
      <c r="P32" s="68" t="n">
        <v>100</v>
      </c>
      <c r="Q32" s="69" t="n">
        <v>680</v>
      </c>
    </row>
    <row r="33" customFormat="false" ht="12.75" hidden="false" customHeight="false" outlineLevel="0" collapsed="false">
      <c r="B33" s="68" t="n">
        <v>105</v>
      </c>
      <c r="C33" s="10" t="n">
        <v>857.2</v>
      </c>
      <c r="F33" s="68" t="n">
        <v>105</v>
      </c>
      <c r="G33" s="10"/>
      <c r="K33" s="68" t="n">
        <v>105</v>
      </c>
      <c r="L33" s="10" t="n">
        <v>387.47</v>
      </c>
      <c r="P33" s="68" t="n">
        <v>105</v>
      </c>
      <c r="Q33" s="69" t="n">
        <v>588.6</v>
      </c>
    </row>
    <row r="34" customFormat="false" ht="12.75" hidden="false" customHeight="false" outlineLevel="0" collapsed="false">
      <c r="B34" s="68" t="n">
        <v>110</v>
      </c>
      <c r="C34" s="10" t="n">
        <v>757.6</v>
      </c>
      <c r="F34" s="68" t="n">
        <v>110</v>
      </c>
      <c r="G34" s="10"/>
      <c r="K34" s="68" t="n">
        <v>110</v>
      </c>
      <c r="L34" s="10" t="n">
        <v>342.18</v>
      </c>
      <c r="P34" s="68" t="n">
        <v>110</v>
      </c>
      <c r="Q34" s="69" t="n">
        <v>511.2</v>
      </c>
    </row>
    <row r="35" customFormat="false" ht="12.75" hidden="false" customHeight="false" outlineLevel="0" collapsed="false">
      <c r="K35" s="70" t="n">
        <v>115</v>
      </c>
      <c r="L35" s="10" t="n">
        <v>303.09</v>
      </c>
      <c r="P35" s="70" t="n">
        <v>115</v>
      </c>
      <c r="Q35" s="69" t="n">
        <v>445.4</v>
      </c>
    </row>
    <row r="36" customFormat="false" ht="12.75" hidden="false" customHeight="false" outlineLevel="0" collapsed="false">
      <c r="K36" s="70" t="n">
        <v>120</v>
      </c>
      <c r="L36" s="10" t="n">
        <v>269.24</v>
      </c>
      <c r="P36" s="70" t="n">
        <v>120</v>
      </c>
      <c r="Q36" s="69" t="n">
        <v>389.3</v>
      </c>
    </row>
    <row r="37" customFormat="false" ht="12.75" hidden="false" customHeight="false" outlineLevel="0" collapsed="false">
      <c r="K37" s="70" t="n">
        <v>125</v>
      </c>
      <c r="L37" s="10" t="n">
        <v>239.83</v>
      </c>
      <c r="P37" s="70" t="n">
        <v>125</v>
      </c>
      <c r="Q37" s="69" t="n">
        <v>341.7</v>
      </c>
    </row>
    <row r="38" customFormat="false" ht="12.75" hidden="false" customHeight="false" outlineLevel="0" collapsed="false">
      <c r="K38" s="70" t="n">
        <v>130</v>
      </c>
      <c r="L38" s="10" t="n">
        <v>214.2</v>
      </c>
      <c r="P38" s="70" t="n">
        <v>130</v>
      </c>
      <c r="Q38" s="69" t="n">
        <v>300.9</v>
      </c>
    </row>
    <row r="39" customFormat="false" ht="12.75" hidden="false" customHeight="false" outlineLevel="0" collapsed="false">
      <c r="K39" s="70" t="n">
        <v>135</v>
      </c>
      <c r="L39" s="10" t="n">
        <v>191.82</v>
      </c>
      <c r="P39" s="70" t="n">
        <v>135</v>
      </c>
      <c r="Q39" s="69" t="n">
        <v>265.4</v>
      </c>
    </row>
    <row r="40" customFormat="false" ht="12.75" hidden="false" customHeight="false" outlineLevel="0" collapsed="false">
      <c r="P40" s="3"/>
      <c r="Q40" s="3"/>
      <c r="R40" s="3"/>
    </row>
    <row r="41" customFormat="false" ht="12.75" hidden="false" customHeight="false" outlineLevel="0" collapsed="false">
      <c r="P41" s="3"/>
      <c r="Q41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J29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6" activeCellId="0" sqref="J6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7" min="7" style="0" width="18.29"/>
  </cols>
  <sheetData>
    <row r="2" customFormat="false" ht="12.75" hidden="false" customHeight="false" outlineLevel="0" collapsed="false">
      <c r="C2" s="68" t="s">
        <v>140</v>
      </c>
      <c r="D2" s="68"/>
      <c r="G2" s="68" t="s">
        <v>141</v>
      </c>
      <c r="J2" s="68" t="s">
        <v>142</v>
      </c>
    </row>
    <row r="3" customFormat="false" ht="12.75" hidden="false" customHeight="false" outlineLevel="0" collapsed="false">
      <c r="C3" s="68" t="n">
        <v>0</v>
      </c>
      <c r="D3" s="68" t="n">
        <f aca="false">ROUND((10^(C3/96)),2)</f>
        <v>1</v>
      </c>
      <c r="F3" s="0" t="s">
        <v>143</v>
      </c>
      <c r="G3" s="68" t="n">
        <f aca="false">D3*1000</f>
        <v>1000</v>
      </c>
      <c r="J3" s="71" t="n">
        <v>0.1</v>
      </c>
    </row>
    <row r="4" customFormat="false" ht="12.75" hidden="false" customHeight="false" outlineLevel="0" collapsed="false">
      <c r="C4" s="68" t="n">
        <v>1</v>
      </c>
      <c r="D4" s="68" t="n">
        <f aca="false">ROUND((10^(C4/96)),2)</f>
        <v>1.02</v>
      </c>
      <c r="G4" s="68" t="n">
        <f aca="false">D4*1000</f>
        <v>1020</v>
      </c>
      <c r="J4" s="71" t="n">
        <v>0.05</v>
      </c>
    </row>
    <row r="5" customFormat="false" ht="12.75" hidden="false" customHeight="false" outlineLevel="0" collapsed="false">
      <c r="C5" s="68" t="n">
        <v>2</v>
      </c>
      <c r="D5" s="68" t="n">
        <f aca="false">ROUND((10^(C5/96)),2)</f>
        <v>1.05</v>
      </c>
      <c r="G5" s="68" t="n">
        <f aca="false">D5*1000</f>
        <v>1050</v>
      </c>
      <c r="J5" s="71" t="n">
        <v>0.02</v>
      </c>
    </row>
    <row r="6" customFormat="false" ht="12.75" hidden="false" customHeight="false" outlineLevel="0" collapsed="false">
      <c r="C6" s="68" t="n">
        <v>3</v>
      </c>
      <c r="D6" s="68" t="n">
        <f aca="false">ROUND((10^(C6/96)),2)</f>
        <v>1.07</v>
      </c>
      <c r="G6" s="68" t="n">
        <f aca="false">D6*1000</f>
        <v>1070</v>
      </c>
      <c r="J6" s="71" t="n">
        <v>0.01</v>
      </c>
    </row>
    <row r="7" customFormat="false" ht="12.75" hidden="false" customHeight="false" outlineLevel="0" collapsed="false">
      <c r="C7" s="68" t="n">
        <v>4</v>
      </c>
      <c r="D7" s="68" t="n">
        <f aca="false">ROUND((10^(C7/96)),2)</f>
        <v>1.1</v>
      </c>
      <c r="G7" s="68" t="n">
        <f aca="false">D7*1000</f>
        <v>1100</v>
      </c>
      <c r="J7" s="71" t="n">
        <v>0.005</v>
      </c>
    </row>
    <row r="8" customFormat="false" ht="12.75" hidden="false" customHeight="false" outlineLevel="0" collapsed="false">
      <c r="C8" s="68" t="n">
        <v>5</v>
      </c>
      <c r="D8" s="68" t="n">
        <f aca="false">ROUND((10^(C8/96)),2)</f>
        <v>1.13</v>
      </c>
      <c r="G8" s="68" t="n">
        <f aca="false">D8*1000</f>
        <v>1130</v>
      </c>
      <c r="J8" s="71" t="n">
        <v>0.002</v>
      </c>
    </row>
    <row r="9" customFormat="false" ht="12.75" hidden="false" customHeight="false" outlineLevel="0" collapsed="false">
      <c r="C9" s="68" t="n">
        <v>6</v>
      </c>
      <c r="D9" s="68" t="n">
        <f aca="false">ROUND((10^(C9/96)),2)</f>
        <v>1.15</v>
      </c>
      <c r="G9" s="68" t="n">
        <f aca="false">D9*1000</f>
        <v>1150</v>
      </c>
      <c r="J9" s="71" t="n">
        <v>0.001</v>
      </c>
    </row>
    <row r="10" customFormat="false" ht="12.75" hidden="false" customHeight="false" outlineLevel="0" collapsed="false">
      <c r="C10" s="68" t="n">
        <v>7</v>
      </c>
      <c r="D10" s="68" t="n">
        <f aca="false">ROUND((10^(C10/96)),2)</f>
        <v>1.18</v>
      </c>
      <c r="G10" s="68" t="n">
        <f aca="false">D10*1000</f>
        <v>1180</v>
      </c>
      <c r="J10" s="71" t="n">
        <v>0.0005</v>
      </c>
    </row>
    <row r="11" customFormat="false" ht="12.75" hidden="false" customHeight="false" outlineLevel="0" collapsed="false">
      <c r="C11" s="68" t="n">
        <v>8</v>
      </c>
      <c r="D11" s="68" t="n">
        <f aca="false">ROUND((10^(C11/96)),2)</f>
        <v>1.21</v>
      </c>
      <c r="G11" s="68" t="n">
        <f aca="false">D11*1000</f>
        <v>1210</v>
      </c>
      <c r="J11" s="71" t="n">
        <v>0.0002</v>
      </c>
    </row>
    <row r="12" customFormat="false" ht="12.75" hidden="false" customHeight="false" outlineLevel="0" collapsed="false">
      <c r="C12" s="68" t="n">
        <v>9</v>
      </c>
      <c r="D12" s="68" t="n">
        <f aca="false">ROUND((10^(C12/96)),2)</f>
        <v>1.24</v>
      </c>
      <c r="G12" s="68" t="n">
        <f aca="false">D12*1000</f>
        <v>1240</v>
      </c>
      <c r="J12" s="71" t="n">
        <v>0.0001</v>
      </c>
    </row>
    <row r="13" customFormat="false" ht="12.75" hidden="false" customHeight="false" outlineLevel="0" collapsed="false">
      <c r="C13" s="68" t="n">
        <v>10</v>
      </c>
      <c r="D13" s="68" t="n">
        <f aca="false">ROUND((10^(C13/96)),2)</f>
        <v>1.27</v>
      </c>
      <c r="G13" s="68" t="n">
        <f aca="false">D13*1000</f>
        <v>1270</v>
      </c>
    </row>
    <row r="14" customFormat="false" ht="12.75" hidden="false" customHeight="false" outlineLevel="0" collapsed="false">
      <c r="C14" s="68" t="n">
        <v>11</v>
      </c>
      <c r="D14" s="68" t="n">
        <f aca="false">ROUND((10^(C14/96)),2)</f>
        <v>1.3</v>
      </c>
      <c r="G14" s="68" t="n">
        <f aca="false">D14*1000</f>
        <v>1300</v>
      </c>
    </row>
    <row r="15" customFormat="false" ht="12.75" hidden="false" customHeight="false" outlineLevel="0" collapsed="false">
      <c r="C15" s="68" t="n">
        <v>12</v>
      </c>
      <c r="D15" s="68" t="n">
        <f aca="false">ROUND((10^(C15/96)),2)</f>
        <v>1.33</v>
      </c>
      <c r="G15" s="68" t="n">
        <f aca="false">D15*1000</f>
        <v>1330</v>
      </c>
    </row>
    <row r="16" customFormat="false" ht="12.75" hidden="false" customHeight="false" outlineLevel="0" collapsed="false">
      <c r="C16" s="68" t="n">
        <v>13</v>
      </c>
      <c r="D16" s="68" t="n">
        <f aca="false">ROUND((10^(C16/96)),2)</f>
        <v>1.37</v>
      </c>
      <c r="G16" s="68" t="n">
        <f aca="false">D16*1000</f>
        <v>1370</v>
      </c>
    </row>
    <row r="17" customFormat="false" ht="12.75" hidden="false" customHeight="false" outlineLevel="0" collapsed="false">
      <c r="C17" s="68" t="n">
        <v>14</v>
      </c>
      <c r="D17" s="68" t="n">
        <f aca="false">ROUND((10^(C17/96)),2)</f>
        <v>1.4</v>
      </c>
      <c r="G17" s="68" t="n">
        <f aca="false">D17*1000</f>
        <v>1400</v>
      </c>
    </row>
    <row r="18" customFormat="false" ht="12.75" hidden="false" customHeight="false" outlineLevel="0" collapsed="false">
      <c r="C18" s="68" t="n">
        <v>15</v>
      </c>
      <c r="D18" s="68" t="n">
        <f aca="false">ROUND((10^(C18/96)),2)</f>
        <v>1.43</v>
      </c>
      <c r="G18" s="68" t="n">
        <f aca="false">D18*1000</f>
        <v>1430</v>
      </c>
    </row>
    <row r="19" customFormat="false" ht="12.75" hidden="false" customHeight="false" outlineLevel="0" collapsed="false">
      <c r="C19" s="68" t="n">
        <v>16</v>
      </c>
      <c r="D19" s="68" t="n">
        <f aca="false">ROUND((10^(C19/96)),2)</f>
        <v>1.47</v>
      </c>
      <c r="G19" s="68" t="n">
        <f aca="false">D19*1000</f>
        <v>1470</v>
      </c>
    </row>
    <row r="20" customFormat="false" ht="12.75" hidden="false" customHeight="false" outlineLevel="0" collapsed="false">
      <c r="C20" s="68" t="n">
        <v>17</v>
      </c>
      <c r="D20" s="68" t="n">
        <f aca="false">ROUND((10^(C20/96)),2)</f>
        <v>1.5</v>
      </c>
      <c r="G20" s="68" t="n">
        <f aca="false">D20*1000</f>
        <v>1500</v>
      </c>
    </row>
    <row r="21" customFormat="false" ht="12.75" hidden="false" customHeight="false" outlineLevel="0" collapsed="false">
      <c r="C21" s="68" t="n">
        <v>18</v>
      </c>
      <c r="D21" s="68" t="n">
        <f aca="false">ROUND((10^(C21/96)),2)</f>
        <v>1.54</v>
      </c>
      <c r="G21" s="68" t="n">
        <f aca="false">D21*1000</f>
        <v>1540</v>
      </c>
    </row>
    <row r="22" customFormat="false" ht="12.75" hidden="false" customHeight="false" outlineLevel="0" collapsed="false">
      <c r="C22" s="68" t="n">
        <v>19</v>
      </c>
      <c r="D22" s="68" t="n">
        <f aca="false">ROUND((10^(C22/96)),2)</f>
        <v>1.58</v>
      </c>
      <c r="G22" s="68" t="n">
        <f aca="false">D22*1000</f>
        <v>1580</v>
      </c>
    </row>
    <row r="23" customFormat="false" ht="12.75" hidden="false" customHeight="false" outlineLevel="0" collapsed="false">
      <c r="C23" s="68" t="n">
        <v>20</v>
      </c>
      <c r="D23" s="68" t="n">
        <f aca="false">ROUND((10^(C23/96)),2)</f>
        <v>1.62</v>
      </c>
      <c r="G23" s="68" t="n">
        <f aca="false">D23*1000</f>
        <v>1620</v>
      </c>
    </row>
    <row r="24" customFormat="false" ht="12.75" hidden="false" customHeight="false" outlineLevel="0" collapsed="false">
      <c r="C24" s="68" t="n">
        <v>21</v>
      </c>
      <c r="D24" s="68" t="n">
        <f aca="false">ROUND((10^(C24/96)),2)</f>
        <v>1.65</v>
      </c>
      <c r="G24" s="68" t="n">
        <f aca="false">D24*1000</f>
        <v>1650</v>
      </c>
    </row>
    <row r="25" customFormat="false" ht="12.75" hidden="false" customHeight="false" outlineLevel="0" collapsed="false">
      <c r="C25" s="68" t="n">
        <v>22</v>
      </c>
      <c r="D25" s="68" t="n">
        <f aca="false">ROUND((10^(C25/96)),2)</f>
        <v>1.69</v>
      </c>
      <c r="G25" s="68" t="n">
        <f aca="false">D25*1000</f>
        <v>1690</v>
      </c>
    </row>
    <row r="26" customFormat="false" ht="12.75" hidden="false" customHeight="false" outlineLevel="0" collapsed="false">
      <c r="C26" s="68" t="n">
        <v>23</v>
      </c>
      <c r="D26" s="68" t="n">
        <f aca="false">ROUND((10^(C26/96)),2)</f>
        <v>1.74</v>
      </c>
      <c r="G26" s="68" t="n">
        <f aca="false">D26*1000</f>
        <v>1740</v>
      </c>
    </row>
    <row r="27" customFormat="false" ht="12.75" hidden="false" customHeight="false" outlineLevel="0" collapsed="false">
      <c r="C27" s="68" t="n">
        <v>24</v>
      </c>
      <c r="D27" s="68" t="n">
        <f aca="false">ROUND((10^(C27/96)),2)</f>
        <v>1.78</v>
      </c>
      <c r="G27" s="68" t="n">
        <f aca="false">D27*1000</f>
        <v>1780</v>
      </c>
    </row>
    <row r="28" customFormat="false" ht="12.75" hidden="false" customHeight="false" outlineLevel="0" collapsed="false">
      <c r="C28" s="68" t="n">
        <v>25</v>
      </c>
      <c r="D28" s="68" t="n">
        <f aca="false">ROUND((10^(C28/96)),2)</f>
        <v>1.82</v>
      </c>
      <c r="G28" s="68" t="n">
        <f aca="false">D28*1000</f>
        <v>1820</v>
      </c>
    </row>
    <row r="29" customFormat="false" ht="12.75" hidden="false" customHeight="false" outlineLevel="0" collapsed="false">
      <c r="C29" s="68" t="n">
        <v>26</v>
      </c>
      <c r="D29" s="68" t="n">
        <f aca="false">ROUND((10^(C29/96)),2)</f>
        <v>1.87</v>
      </c>
      <c r="G29" s="68" t="n">
        <f aca="false">D29*1000</f>
        <v>1870</v>
      </c>
    </row>
    <row r="30" customFormat="false" ht="12.75" hidden="false" customHeight="false" outlineLevel="0" collapsed="false">
      <c r="C30" s="68" t="n">
        <v>27</v>
      </c>
      <c r="D30" s="68" t="n">
        <f aca="false">ROUND((10^(C30/96)),2)</f>
        <v>1.91</v>
      </c>
      <c r="G30" s="68" t="n">
        <f aca="false">D30*1000</f>
        <v>1910</v>
      </c>
    </row>
    <row r="31" customFormat="false" ht="12.75" hidden="false" customHeight="false" outlineLevel="0" collapsed="false">
      <c r="C31" s="68" t="n">
        <v>28</v>
      </c>
      <c r="D31" s="68" t="n">
        <f aca="false">ROUND((10^(C31/96)),2)</f>
        <v>1.96</v>
      </c>
      <c r="G31" s="68" t="n">
        <f aca="false">D31*1000</f>
        <v>1960</v>
      </c>
    </row>
    <row r="32" customFormat="false" ht="12.75" hidden="false" customHeight="false" outlineLevel="0" collapsed="false">
      <c r="C32" s="68" t="n">
        <v>29</v>
      </c>
      <c r="D32" s="68" t="n">
        <f aca="false">ROUND((10^(C32/96)),2)</f>
        <v>2</v>
      </c>
      <c r="G32" s="68" t="n">
        <f aca="false">D32*1000</f>
        <v>2000</v>
      </c>
    </row>
    <row r="33" customFormat="false" ht="12.75" hidden="false" customHeight="false" outlineLevel="0" collapsed="false">
      <c r="C33" s="68" t="n">
        <v>30</v>
      </c>
      <c r="D33" s="68" t="n">
        <f aca="false">ROUND((10^(C33/96)),2)</f>
        <v>2.05</v>
      </c>
      <c r="G33" s="68" t="n">
        <f aca="false">D33*1000</f>
        <v>2050</v>
      </c>
    </row>
    <row r="34" customFormat="false" ht="12.75" hidden="false" customHeight="false" outlineLevel="0" collapsed="false">
      <c r="C34" s="68" t="n">
        <v>31</v>
      </c>
      <c r="D34" s="68" t="n">
        <f aca="false">ROUND((10^(C34/96)),2)</f>
        <v>2.1</v>
      </c>
      <c r="G34" s="68" t="n">
        <f aca="false">D34*1000</f>
        <v>2100</v>
      </c>
    </row>
    <row r="35" customFormat="false" ht="12.75" hidden="false" customHeight="false" outlineLevel="0" collapsed="false">
      <c r="C35" s="68" t="n">
        <v>32</v>
      </c>
      <c r="D35" s="68" t="n">
        <f aca="false">ROUND((10^(C35/96)),2)</f>
        <v>2.15</v>
      </c>
      <c r="G35" s="68" t="n">
        <f aca="false">D35*1000</f>
        <v>2150</v>
      </c>
    </row>
    <row r="36" customFormat="false" ht="12.75" hidden="false" customHeight="false" outlineLevel="0" collapsed="false">
      <c r="C36" s="68" t="n">
        <v>33</v>
      </c>
      <c r="D36" s="68" t="n">
        <f aca="false">ROUND((10^(C36/96)),2)</f>
        <v>2.21</v>
      </c>
      <c r="G36" s="68" t="n">
        <f aca="false">D36*1000</f>
        <v>2210</v>
      </c>
    </row>
    <row r="37" customFormat="false" ht="12.75" hidden="false" customHeight="false" outlineLevel="0" collapsed="false">
      <c r="C37" s="68" t="n">
        <v>34</v>
      </c>
      <c r="D37" s="68" t="n">
        <f aca="false">ROUND((10^(C37/96)),2)</f>
        <v>2.26</v>
      </c>
      <c r="G37" s="68" t="n">
        <f aca="false">D37*1000</f>
        <v>2260</v>
      </c>
    </row>
    <row r="38" customFormat="false" ht="12.75" hidden="false" customHeight="false" outlineLevel="0" collapsed="false">
      <c r="C38" s="68" t="n">
        <v>35</v>
      </c>
      <c r="D38" s="68" t="n">
        <f aca="false">ROUND((10^(C38/96)),2)</f>
        <v>2.32</v>
      </c>
      <c r="G38" s="68" t="n">
        <f aca="false">D38*1000</f>
        <v>2320</v>
      </c>
    </row>
    <row r="39" customFormat="false" ht="12.75" hidden="false" customHeight="false" outlineLevel="0" collapsed="false">
      <c r="C39" s="68" t="n">
        <v>36</v>
      </c>
      <c r="D39" s="68" t="n">
        <f aca="false">ROUND((10^(C39/96)),2)</f>
        <v>2.37</v>
      </c>
      <c r="G39" s="68" t="n">
        <f aca="false">D39*1000</f>
        <v>2370</v>
      </c>
    </row>
    <row r="40" customFormat="false" ht="12.75" hidden="false" customHeight="false" outlineLevel="0" collapsed="false">
      <c r="C40" s="68" t="n">
        <v>37</v>
      </c>
      <c r="D40" s="68" t="n">
        <f aca="false">ROUND((10^(C40/96)),2)</f>
        <v>2.43</v>
      </c>
      <c r="G40" s="68" t="n">
        <f aca="false">D40*1000</f>
        <v>2430</v>
      </c>
    </row>
    <row r="41" customFormat="false" ht="12.75" hidden="false" customHeight="false" outlineLevel="0" collapsed="false">
      <c r="C41" s="68" t="n">
        <v>38</v>
      </c>
      <c r="D41" s="68" t="n">
        <f aca="false">ROUND((10^(C41/96)),2)</f>
        <v>2.49</v>
      </c>
      <c r="G41" s="68" t="n">
        <f aca="false">D41*1000</f>
        <v>2490</v>
      </c>
    </row>
    <row r="42" customFormat="false" ht="12.75" hidden="false" customHeight="false" outlineLevel="0" collapsed="false">
      <c r="C42" s="68" t="n">
        <v>39</v>
      </c>
      <c r="D42" s="68" t="n">
        <f aca="false">ROUND((10^(C42/96)),2)</f>
        <v>2.55</v>
      </c>
      <c r="G42" s="68" t="n">
        <f aca="false">D42*1000</f>
        <v>2550</v>
      </c>
    </row>
    <row r="43" customFormat="false" ht="12.75" hidden="false" customHeight="false" outlineLevel="0" collapsed="false">
      <c r="C43" s="68" t="n">
        <v>40</v>
      </c>
      <c r="D43" s="68" t="n">
        <f aca="false">ROUND((10^(C43/96)),2)</f>
        <v>2.61</v>
      </c>
      <c r="G43" s="68" t="n">
        <f aca="false">D43*1000</f>
        <v>2610</v>
      </c>
    </row>
    <row r="44" customFormat="false" ht="12.75" hidden="false" customHeight="false" outlineLevel="0" collapsed="false">
      <c r="C44" s="68" t="n">
        <v>41</v>
      </c>
      <c r="D44" s="68" t="n">
        <f aca="false">ROUND((10^(C44/96)),2)</f>
        <v>2.67</v>
      </c>
      <c r="G44" s="68" t="n">
        <f aca="false">D44*1000</f>
        <v>2670</v>
      </c>
    </row>
    <row r="45" customFormat="false" ht="12.75" hidden="false" customHeight="false" outlineLevel="0" collapsed="false">
      <c r="C45" s="68" t="n">
        <v>42</v>
      </c>
      <c r="D45" s="68" t="n">
        <f aca="false">ROUND((10^(C45/96)),2)</f>
        <v>2.74</v>
      </c>
      <c r="G45" s="68" t="n">
        <f aca="false">D45*1000</f>
        <v>2740</v>
      </c>
    </row>
    <row r="46" customFormat="false" ht="12.75" hidden="false" customHeight="false" outlineLevel="0" collapsed="false">
      <c r="C46" s="68" t="n">
        <v>43</v>
      </c>
      <c r="D46" s="68" t="n">
        <f aca="false">ROUND((10^(C46/96)),2)</f>
        <v>2.8</v>
      </c>
      <c r="G46" s="68" t="n">
        <f aca="false">D46*1000</f>
        <v>2800</v>
      </c>
    </row>
    <row r="47" customFormat="false" ht="12.75" hidden="false" customHeight="false" outlineLevel="0" collapsed="false">
      <c r="C47" s="68" t="n">
        <v>44</v>
      </c>
      <c r="D47" s="68" t="n">
        <f aca="false">ROUND((10^(C47/96)),2)</f>
        <v>2.87</v>
      </c>
      <c r="G47" s="68" t="n">
        <f aca="false">D47*1000</f>
        <v>2870</v>
      </c>
    </row>
    <row r="48" customFormat="false" ht="12.75" hidden="false" customHeight="false" outlineLevel="0" collapsed="false">
      <c r="C48" s="68" t="n">
        <v>45</v>
      </c>
      <c r="D48" s="68" t="n">
        <f aca="false">ROUND((10^(C48/96)),2)</f>
        <v>2.94</v>
      </c>
      <c r="G48" s="68" t="n">
        <f aca="false">D48*1000</f>
        <v>2940</v>
      </c>
    </row>
    <row r="49" customFormat="false" ht="12.75" hidden="false" customHeight="false" outlineLevel="0" collapsed="false">
      <c r="C49" s="68" t="n">
        <v>46</v>
      </c>
      <c r="D49" s="68" t="n">
        <f aca="false">ROUND((10^(C49/96)),2)</f>
        <v>3.01</v>
      </c>
      <c r="G49" s="68" t="n">
        <f aca="false">D49*1000</f>
        <v>3010</v>
      </c>
    </row>
    <row r="50" customFormat="false" ht="12.75" hidden="false" customHeight="false" outlineLevel="0" collapsed="false">
      <c r="C50" s="68" t="n">
        <v>47</v>
      </c>
      <c r="D50" s="68" t="n">
        <f aca="false">ROUND((10^(C50/96)),2)</f>
        <v>3.09</v>
      </c>
      <c r="G50" s="68" t="n">
        <f aca="false">D50*1000</f>
        <v>3090</v>
      </c>
    </row>
    <row r="51" customFormat="false" ht="12.75" hidden="false" customHeight="false" outlineLevel="0" collapsed="false">
      <c r="C51" s="68" t="n">
        <v>48</v>
      </c>
      <c r="D51" s="68" t="n">
        <f aca="false">ROUND((10^(C51/96)),2)</f>
        <v>3.16</v>
      </c>
      <c r="G51" s="68" t="n">
        <f aca="false">D51*1000</f>
        <v>3160</v>
      </c>
    </row>
    <row r="52" customFormat="false" ht="12.75" hidden="false" customHeight="false" outlineLevel="0" collapsed="false">
      <c r="C52" s="68" t="n">
        <v>49</v>
      </c>
      <c r="D52" s="68" t="n">
        <f aca="false">ROUND((10^(C52/96)),2)</f>
        <v>3.24</v>
      </c>
      <c r="G52" s="68" t="n">
        <f aca="false">D52*1000</f>
        <v>3240</v>
      </c>
    </row>
    <row r="53" customFormat="false" ht="12.75" hidden="false" customHeight="false" outlineLevel="0" collapsed="false">
      <c r="C53" s="68" t="n">
        <v>50</v>
      </c>
      <c r="D53" s="68" t="n">
        <f aca="false">ROUND((10^(C53/96)),2)</f>
        <v>3.32</v>
      </c>
      <c r="G53" s="68" t="n">
        <f aca="false">D53*1000</f>
        <v>3320</v>
      </c>
    </row>
    <row r="54" customFormat="false" ht="12.75" hidden="false" customHeight="false" outlineLevel="0" collapsed="false">
      <c r="C54" s="68" t="n">
        <v>51</v>
      </c>
      <c r="D54" s="68" t="n">
        <f aca="false">ROUND((10^(C54/96)),2)</f>
        <v>3.4</v>
      </c>
      <c r="G54" s="68" t="n">
        <f aca="false">D54*1000</f>
        <v>3400</v>
      </c>
    </row>
    <row r="55" customFormat="false" ht="12.75" hidden="false" customHeight="false" outlineLevel="0" collapsed="false">
      <c r="C55" s="68" t="n">
        <v>52</v>
      </c>
      <c r="D55" s="68" t="n">
        <f aca="false">ROUND((10^(C55/96)),2)</f>
        <v>3.48</v>
      </c>
      <c r="G55" s="68" t="n">
        <f aca="false">D55*1000</f>
        <v>3480</v>
      </c>
    </row>
    <row r="56" customFormat="false" ht="12.75" hidden="false" customHeight="false" outlineLevel="0" collapsed="false">
      <c r="C56" s="68" t="n">
        <v>53</v>
      </c>
      <c r="D56" s="68" t="n">
        <f aca="false">ROUND((10^(C56/96)),2)</f>
        <v>3.57</v>
      </c>
      <c r="G56" s="68" t="n">
        <f aca="false">D56*1000</f>
        <v>3570</v>
      </c>
    </row>
    <row r="57" customFormat="false" ht="12.75" hidden="false" customHeight="false" outlineLevel="0" collapsed="false">
      <c r="C57" s="68" t="n">
        <v>54</v>
      </c>
      <c r="D57" s="68" t="n">
        <f aca="false">ROUND((10^(C57/96)),2)</f>
        <v>3.65</v>
      </c>
      <c r="G57" s="68" t="n">
        <f aca="false">D57*1000</f>
        <v>3650</v>
      </c>
    </row>
    <row r="58" customFormat="false" ht="12.75" hidden="false" customHeight="false" outlineLevel="0" collapsed="false">
      <c r="C58" s="68" t="n">
        <v>55</v>
      </c>
      <c r="D58" s="68" t="n">
        <f aca="false">ROUND((10^(C58/96)),2)</f>
        <v>3.74</v>
      </c>
      <c r="G58" s="68" t="n">
        <f aca="false">D58*1000</f>
        <v>3740</v>
      </c>
    </row>
    <row r="59" customFormat="false" ht="12.75" hidden="false" customHeight="false" outlineLevel="0" collapsed="false">
      <c r="C59" s="68" t="n">
        <v>56</v>
      </c>
      <c r="D59" s="68" t="n">
        <f aca="false">ROUND((10^(C59/96)),2)</f>
        <v>3.83</v>
      </c>
      <c r="G59" s="68" t="n">
        <f aca="false">D59*1000</f>
        <v>3830</v>
      </c>
    </row>
    <row r="60" customFormat="false" ht="12.75" hidden="false" customHeight="false" outlineLevel="0" collapsed="false">
      <c r="C60" s="68" t="n">
        <v>57</v>
      </c>
      <c r="D60" s="68" t="n">
        <f aca="false">ROUND((10^(C60/96)),2)</f>
        <v>3.92</v>
      </c>
      <c r="G60" s="68" t="n">
        <f aca="false">D60*1000</f>
        <v>3920</v>
      </c>
    </row>
    <row r="61" customFormat="false" ht="12.75" hidden="false" customHeight="false" outlineLevel="0" collapsed="false">
      <c r="C61" s="68" t="n">
        <v>58</v>
      </c>
      <c r="D61" s="68" t="n">
        <f aca="false">ROUND((10^(C61/96)),2)</f>
        <v>4.02</v>
      </c>
      <c r="G61" s="68" t="n">
        <f aca="false">D61*1000</f>
        <v>4020</v>
      </c>
    </row>
    <row r="62" customFormat="false" ht="12.75" hidden="false" customHeight="false" outlineLevel="0" collapsed="false">
      <c r="C62" s="68" t="n">
        <v>59</v>
      </c>
      <c r="D62" s="68" t="n">
        <f aca="false">ROUND((10^(C62/96)),2)</f>
        <v>4.12</v>
      </c>
      <c r="G62" s="68" t="n">
        <f aca="false">D62*1000</f>
        <v>4120</v>
      </c>
    </row>
    <row r="63" customFormat="false" ht="12.75" hidden="false" customHeight="false" outlineLevel="0" collapsed="false">
      <c r="C63" s="68" t="n">
        <v>60</v>
      </c>
      <c r="D63" s="68" t="n">
        <f aca="false">ROUND((10^(C63/96)),2)</f>
        <v>4.22</v>
      </c>
      <c r="G63" s="68" t="n">
        <f aca="false">D63*1000</f>
        <v>4220</v>
      </c>
    </row>
    <row r="64" customFormat="false" ht="12.75" hidden="false" customHeight="false" outlineLevel="0" collapsed="false">
      <c r="C64" s="68" t="n">
        <v>61</v>
      </c>
      <c r="D64" s="68" t="n">
        <f aca="false">ROUND((10^(C64/96)),2)</f>
        <v>4.32</v>
      </c>
      <c r="G64" s="68" t="n">
        <f aca="false">D64*1000</f>
        <v>4320</v>
      </c>
    </row>
    <row r="65" customFormat="false" ht="12.75" hidden="false" customHeight="false" outlineLevel="0" collapsed="false">
      <c r="C65" s="68" t="n">
        <v>62</v>
      </c>
      <c r="D65" s="68" t="n">
        <f aca="false">ROUND((10^(C65/96)),2)</f>
        <v>4.42</v>
      </c>
      <c r="G65" s="68" t="n">
        <f aca="false">D65*1000</f>
        <v>4420</v>
      </c>
    </row>
    <row r="66" customFormat="false" ht="12.75" hidden="false" customHeight="false" outlineLevel="0" collapsed="false">
      <c r="C66" s="68" t="n">
        <v>63</v>
      </c>
      <c r="D66" s="68" t="n">
        <f aca="false">ROUND((10^(C66/96)),2)</f>
        <v>4.53</v>
      </c>
      <c r="G66" s="68" t="n">
        <f aca="false">D66*1000</f>
        <v>4530</v>
      </c>
    </row>
    <row r="67" customFormat="false" ht="12.75" hidden="false" customHeight="false" outlineLevel="0" collapsed="false">
      <c r="C67" s="68" t="n">
        <v>64</v>
      </c>
      <c r="D67" s="68" t="n">
        <f aca="false">ROUND((10^(C67/96)),2)</f>
        <v>4.64</v>
      </c>
      <c r="G67" s="68" t="n">
        <f aca="false">D67*1000</f>
        <v>4640</v>
      </c>
    </row>
    <row r="68" customFormat="false" ht="12.75" hidden="false" customHeight="false" outlineLevel="0" collapsed="false">
      <c r="C68" s="68" t="n">
        <v>65</v>
      </c>
      <c r="D68" s="68" t="n">
        <f aca="false">ROUND((10^(C68/96)),2)</f>
        <v>4.75</v>
      </c>
      <c r="G68" s="68" t="n">
        <f aca="false">D68*1000</f>
        <v>4750</v>
      </c>
    </row>
    <row r="69" customFormat="false" ht="12.75" hidden="false" customHeight="false" outlineLevel="0" collapsed="false">
      <c r="C69" s="68" t="n">
        <v>66</v>
      </c>
      <c r="D69" s="68" t="n">
        <f aca="false">ROUND((10^(C69/96)),2)</f>
        <v>4.87</v>
      </c>
      <c r="G69" s="68" t="n">
        <f aca="false">D69*1000</f>
        <v>4870</v>
      </c>
    </row>
    <row r="70" customFormat="false" ht="12.75" hidden="false" customHeight="false" outlineLevel="0" collapsed="false">
      <c r="C70" s="68" t="n">
        <v>67</v>
      </c>
      <c r="D70" s="68" t="n">
        <f aca="false">ROUND((10^(C70/96)),2)</f>
        <v>4.99</v>
      </c>
      <c r="G70" s="68" t="n">
        <f aca="false">D70*1000</f>
        <v>4990</v>
      </c>
    </row>
    <row r="71" customFormat="false" ht="12.75" hidden="false" customHeight="false" outlineLevel="0" collapsed="false">
      <c r="C71" s="68" t="n">
        <v>68</v>
      </c>
      <c r="D71" s="68" t="n">
        <f aca="false">ROUND((10^(C71/96)),2)</f>
        <v>5.11</v>
      </c>
      <c r="G71" s="68" t="n">
        <f aca="false">D71*1000</f>
        <v>5110</v>
      </c>
    </row>
    <row r="72" customFormat="false" ht="12.75" hidden="false" customHeight="false" outlineLevel="0" collapsed="false">
      <c r="C72" s="68" t="n">
        <v>69</v>
      </c>
      <c r="D72" s="68" t="n">
        <f aca="false">ROUND((10^(C72/96)),2)</f>
        <v>5.23</v>
      </c>
      <c r="G72" s="68" t="n">
        <f aca="false">D72*1000</f>
        <v>5230</v>
      </c>
    </row>
    <row r="73" customFormat="false" ht="12.75" hidden="false" customHeight="false" outlineLevel="0" collapsed="false">
      <c r="C73" s="68" t="n">
        <v>70</v>
      </c>
      <c r="D73" s="68" t="n">
        <f aca="false">ROUND((10^(C73/96)),2)</f>
        <v>5.36</v>
      </c>
      <c r="G73" s="68" t="n">
        <f aca="false">D73*1000</f>
        <v>5360</v>
      </c>
    </row>
    <row r="74" customFormat="false" ht="12.75" hidden="false" customHeight="false" outlineLevel="0" collapsed="false">
      <c r="C74" s="68" t="n">
        <v>71</v>
      </c>
      <c r="D74" s="68" t="n">
        <f aca="false">ROUND((10^(C74/96)),2)</f>
        <v>5.49</v>
      </c>
      <c r="G74" s="68" t="n">
        <f aca="false">D74*1000</f>
        <v>5490</v>
      </c>
    </row>
    <row r="75" customFormat="false" ht="12.75" hidden="false" customHeight="false" outlineLevel="0" collapsed="false">
      <c r="C75" s="68" t="n">
        <v>72</v>
      </c>
      <c r="D75" s="68" t="n">
        <f aca="false">ROUND((10^(C75/96)),2)</f>
        <v>5.62</v>
      </c>
      <c r="G75" s="68" t="n">
        <f aca="false">D75*1000</f>
        <v>5620</v>
      </c>
    </row>
    <row r="76" customFormat="false" ht="12.75" hidden="false" customHeight="false" outlineLevel="0" collapsed="false">
      <c r="C76" s="68" t="n">
        <v>73</v>
      </c>
      <c r="D76" s="68" t="n">
        <f aca="false">ROUND((10^(C76/96)),2)</f>
        <v>5.76</v>
      </c>
      <c r="G76" s="68" t="n">
        <f aca="false">D76*1000</f>
        <v>5760</v>
      </c>
    </row>
    <row r="77" customFormat="false" ht="12.75" hidden="false" customHeight="false" outlineLevel="0" collapsed="false">
      <c r="C77" s="68" t="n">
        <v>74</v>
      </c>
      <c r="D77" s="68" t="n">
        <f aca="false">ROUND((10^(C77/96)),2)</f>
        <v>5.9</v>
      </c>
      <c r="G77" s="68" t="n">
        <f aca="false">D77*1000</f>
        <v>5900</v>
      </c>
    </row>
    <row r="78" customFormat="false" ht="12.75" hidden="false" customHeight="false" outlineLevel="0" collapsed="false">
      <c r="C78" s="68" t="n">
        <v>75</v>
      </c>
      <c r="D78" s="68" t="n">
        <f aca="false">ROUND((10^(C78/96)),2)</f>
        <v>6.04</v>
      </c>
      <c r="G78" s="68" t="n">
        <f aca="false">D78*1000</f>
        <v>6040</v>
      </c>
    </row>
    <row r="79" customFormat="false" ht="12.75" hidden="false" customHeight="false" outlineLevel="0" collapsed="false">
      <c r="C79" s="68" t="n">
        <v>76</v>
      </c>
      <c r="D79" s="68" t="n">
        <f aca="false">ROUND((10^(C79/96)),2)</f>
        <v>6.19</v>
      </c>
      <c r="G79" s="68" t="n">
        <f aca="false">D79*1000</f>
        <v>6190</v>
      </c>
    </row>
    <row r="80" customFormat="false" ht="12.75" hidden="false" customHeight="false" outlineLevel="0" collapsed="false">
      <c r="C80" s="68" t="n">
        <v>77</v>
      </c>
      <c r="D80" s="68" t="n">
        <f aca="false">ROUND((10^(C80/96)),2)</f>
        <v>6.34</v>
      </c>
      <c r="G80" s="68" t="n">
        <f aca="false">D80*1000</f>
        <v>6340</v>
      </c>
    </row>
    <row r="81" customFormat="false" ht="12.75" hidden="false" customHeight="false" outlineLevel="0" collapsed="false">
      <c r="C81" s="68" t="n">
        <v>78</v>
      </c>
      <c r="D81" s="68" t="n">
        <f aca="false">ROUND((10^(C81/96)),2)</f>
        <v>6.49</v>
      </c>
      <c r="G81" s="68" t="n">
        <f aca="false">D81*1000</f>
        <v>6490</v>
      </c>
    </row>
    <row r="82" customFormat="false" ht="12.75" hidden="false" customHeight="false" outlineLevel="0" collapsed="false">
      <c r="C82" s="68" t="n">
        <v>79</v>
      </c>
      <c r="D82" s="68" t="n">
        <f aca="false">ROUND((10^(C82/96)),2)</f>
        <v>6.65</v>
      </c>
      <c r="G82" s="68" t="n">
        <f aca="false">D82*1000</f>
        <v>6650</v>
      </c>
    </row>
    <row r="83" customFormat="false" ht="12.75" hidden="false" customHeight="false" outlineLevel="0" collapsed="false">
      <c r="C83" s="68" t="n">
        <v>80</v>
      </c>
      <c r="D83" s="68" t="n">
        <f aca="false">ROUND((10^(C83/96)),2)</f>
        <v>6.81</v>
      </c>
      <c r="G83" s="68" t="n">
        <f aca="false">D83*1000</f>
        <v>6810</v>
      </c>
    </row>
    <row r="84" customFormat="false" ht="12.75" hidden="false" customHeight="false" outlineLevel="0" collapsed="false">
      <c r="C84" s="68" t="n">
        <v>81</v>
      </c>
      <c r="D84" s="68" t="n">
        <f aca="false">ROUND((10^(C84/96)),2)</f>
        <v>6.98</v>
      </c>
      <c r="G84" s="68" t="n">
        <f aca="false">D84*1000</f>
        <v>6980</v>
      </c>
    </row>
    <row r="85" customFormat="false" ht="12.75" hidden="false" customHeight="false" outlineLevel="0" collapsed="false">
      <c r="C85" s="68" t="n">
        <v>82</v>
      </c>
      <c r="D85" s="68" t="n">
        <f aca="false">ROUND((10^(C85/96)),2)</f>
        <v>7.15</v>
      </c>
      <c r="G85" s="68" t="n">
        <f aca="false">D85*1000</f>
        <v>7150</v>
      </c>
    </row>
    <row r="86" customFormat="false" ht="12.75" hidden="false" customHeight="false" outlineLevel="0" collapsed="false">
      <c r="C86" s="68" t="n">
        <v>83</v>
      </c>
      <c r="D86" s="68" t="n">
        <f aca="false">ROUND((10^(C86/96)),2)</f>
        <v>7.32</v>
      </c>
      <c r="G86" s="68" t="n">
        <f aca="false">D86*1000</f>
        <v>7320</v>
      </c>
    </row>
    <row r="87" customFormat="false" ht="12.75" hidden="false" customHeight="false" outlineLevel="0" collapsed="false">
      <c r="C87" s="68" t="n">
        <v>84</v>
      </c>
      <c r="D87" s="68" t="n">
        <f aca="false">ROUND((10^(C87/96)),2)</f>
        <v>7.5</v>
      </c>
      <c r="G87" s="68" t="n">
        <f aca="false">D87*1000</f>
        <v>7500</v>
      </c>
    </row>
    <row r="88" customFormat="false" ht="12.75" hidden="false" customHeight="false" outlineLevel="0" collapsed="false">
      <c r="C88" s="68" t="n">
        <v>85</v>
      </c>
      <c r="D88" s="68" t="n">
        <f aca="false">ROUND((10^(C88/96)),2)</f>
        <v>7.68</v>
      </c>
      <c r="G88" s="68" t="n">
        <f aca="false">D88*1000</f>
        <v>7680</v>
      </c>
    </row>
    <row r="89" customFormat="false" ht="12.75" hidden="false" customHeight="false" outlineLevel="0" collapsed="false">
      <c r="C89" s="68" t="n">
        <v>86</v>
      </c>
      <c r="D89" s="68" t="n">
        <f aca="false">ROUND((10^(C89/96)),2)</f>
        <v>7.87</v>
      </c>
      <c r="G89" s="68" t="n">
        <f aca="false">D89*1000</f>
        <v>7870</v>
      </c>
    </row>
    <row r="90" customFormat="false" ht="12.75" hidden="false" customHeight="false" outlineLevel="0" collapsed="false">
      <c r="C90" s="68" t="n">
        <v>87</v>
      </c>
      <c r="D90" s="68" t="n">
        <f aca="false">ROUND((10^(C90/96)),2)</f>
        <v>8.06</v>
      </c>
      <c r="G90" s="68" t="n">
        <f aca="false">D90*1000</f>
        <v>8060</v>
      </c>
    </row>
    <row r="91" customFormat="false" ht="12.75" hidden="false" customHeight="false" outlineLevel="0" collapsed="false">
      <c r="C91" s="68" t="n">
        <v>88</v>
      </c>
      <c r="D91" s="68" t="n">
        <f aca="false">ROUND((10^(C91/96)),2)</f>
        <v>8.25</v>
      </c>
      <c r="G91" s="68" t="n">
        <f aca="false">D91*1000</f>
        <v>8250</v>
      </c>
    </row>
    <row r="92" customFormat="false" ht="12.75" hidden="false" customHeight="false" outlineLevel="0" collapsed="false">
      <c r="C92" s="68" t="n">
        <v>89</v>
      </c>
      <c r="D92" s="68" t="n">
        <f aca="false">ROUND((10^(C92/96)),2)</f>
        <v>8.45</v>
      </c>
      <c r="G92" s="68" t="n">
        <f aca="false">D92*1000</f>
        <v>8450</v>
      </c>
    </row>
    <row r="93" customFormat="false" ht="12.75" hidden="false" customHeight="false" outlineLevel="0" collapsed="false">
      <c r="C93" s="68" t="n">
        <v>90</v>
      </c>
      <c r="D93" s="68" t="n">
        <f aca="false">ROUND((10^(C93/96)),2)</f>
        <v>8.66</v>
      </c>
      <c r="G93" s="68" t="n">
        <f aca="false">D93*1000</f>
        <v>8660</v>
      </c>
    </row>
    <row r="94" customFormat="false" ht="12.75" hidden="false" customHeight="false" outlineLevel="0" collapsed="false">
      <c r="C94" s="68" t="n">
        <v>91</v>
      </c>
      <c r="D94" s="68" t="n">
        <f aca="false">ROUND((10^(C94/96)),2)</f>
        <v>8.87</v>
      </c>
      <c r="G94" s="68" t="n">
        <f aca="false">D94*1000</f>
        <v>8870</v>
      </c>
    </row>
    <row r="95" customFormat="false" ht="12.75" hidden="false" customHeight="false" outlineLevel="0" collapsed="false">
      <c r="C95" s="68" t="n">
        <v>92</v>
      </c>
      <c r="D95" s="68" t="n">
        <f aca="false">ROUND((10^(C95/96)),2)</f>
        <v>9.09</v>
      </c>
      <c r="G95" s="68" t="n">
        <f aca="false">D95*1000</f>
        <v>9090</v>
      </c>
    </row>
    <row r="96" customFormat="false" ht="12.75" hidden="false" customHeight="false" outlineLevel="0" collapsed="false">
      <c r="C96" s="68" t="n">
        <v>93</v>
      </c>
      <c r="D96" s="68" t="n">
        <f aca="false">ROUND((10^(C96/96)),2)</f>
        <v>9.31</v>
      </c>
      <c r="G96" s="68" t="n">
        <f aca="false">D96*1000</f>
        <v>9310</v>
      </c>
    </row>
    <row r="97" customFormat="false" ht="12.75" hidden="false" customHeight="false" outlineLevel="0" collapsed="false">
      <c r="C97" s="68" t="n">
        <v>94</v>
      </c>
      <c r="D97" s="68" t="n">
        <f aca="false">ROUND((10^(C97/96)),2)</f>
        <v>9.53</v>
      </c>
      <c r="G97" s="68" t="n">
        <f aca="false">D97*1000</f>
        <v>9530</v>
      </c>
    </row>
    <row r="98" customFormat="false" ht="12.75" hidden="false" customHeight="false" outlineLevel="0" collapsed="false">
      <c r="C98" s="68" t="n">
        <v>95</v>
      </c>
      <c r="D98" s="68" t="n">
        <f aca="false">ROUND((10^(C98/96)),2)</f>
        <v>9.76</v>
      </c>
      <c r="G98" s="68" t="n">
        <f aca="false">D98*1000</f>
        <v>9760</v>
      </c>
    </row>
    <row r="99" customFormat="false" ht="12.75" hidden="false" customHeight="false" outlineLevel="0" collapsed="false">
      <c r="F99" s="0" t="s">
        <v>144</v>
      </c>
      <c r="G99" s="68" t="n">
        <f aca="false">10000*D3</f>
        <v>10000</v>
      </c>
    </row>
    <row r="100" customFormat="false" ht="12.75" hidden="false" customHeight="false" outlineLevel="0" collapsed="false">
      <c r="G100" s="68" t="n">
        <f aca="false">10000*D4</f>
        <v>10200</v>
      </c>
    </row>
    <row r="101" customFormat="false" ht="12.75" hidden="false" customHeight="false" outlineLevel="0" collapsed="false">
      <c r="G101" s="68" t="n">
        <f aca="false">10000*D5</f>
        <v>10500</v>
      </c>
    </row>
    <row r="102" customFormat="false" ht="12.75" hidden="false" customHeight="false" outlineLevel="0" collapsed="false">
      <c r="G102" s="68" t="n">
        <f aca="false">10000*D6</f>
        <v>10700</v>
      </c>
    </row>
    <row r="103" customFormat="false" ht="12.75" hidden="false" customHeight="false" outlineLevel="0" collapsed="false">
      <c r="G103" s="68" t="n">
        <f aca="false">10000*D7</f>
        <v>11000</v>
      </c>
    </row>
    <row r="104" customFormat="false" ht="12.75" hidden="false" customHeight="false" outlineLevel="0" collapsed="false">
      <c r="G104" s="68" t="n">
        <f aca="false">10000*D8</f>
        <v>11300</v>
      </c>
    </row>
    <row r="105" customFormat="false" ht="12.75" hidden="false" customHeight="false" outlineLevel="0" collapsed="false">
      <c r="G105" s="68" t="n">
        <f aca="false">10000*D9</f>
        <v>11500</v>
      </c>
    </row>
    <row r="106" customFormat="false" ht="12.75" hidden="false" customHeight="false" outlineLevel="0" collapsed="false">
      <c r="G106" s="68" t="n">
        <f aca="false">10000*D10</f>
        <v>11800</v>
      </c>
    </row>
    <row r="107" customFormat="false" ht="12.75" hidden="false" customHeight="false" outlineLevel="0" collapsed="false">
      <c r="G107" s="68" t="n">
        <f aca="false">10000*D11</f>
        <v>12100</v>
      </c>
    </row>
    <row r="108" customFormat="false" ht="12.75" hidden="false" customHeight="false" outlineLevel="0" collapsed="false">
      <c r="G108" s="68" t="n">
        <f aca="false">10000*D12</f>
        <v>12400</v>
      </c>
    </row>
    <row r="109" customFormat="false" ht="12.75" hidden="false" customHeight="false" outlineLevel="0" collapsed="false">
      <c r="G109" s="68" t="n">
        <f aca="false">10000*D13</f>
        <v>12700</v>
      </c>
    </row>
    <row r="110" customFormat="false" ht="12.75" hidden="false" customHeight="false" outlineLevel="0" collapsed="false">
      <c r="G110" s="68" t="n">
        <f aca="false">10000*D14</f>
        <v>13000</v>
      </c>
    </row>
    <row r="111" customFormat="false" ht="12.75" hidden="false" customHeight="false" outlineLevel="0" collapsed="false">
      <c r="G111" s="68" t="n">
        <f aca="false">10000*D15</f>
        <v>13300</v>
      </c>
    </row>
    <row r="112" customFormat="false" ht="12.75" hidden="false" customHeight="false" outlineLevel="0" collapsed="false">
      <c r="G112" s="68" t="n">
        <f aca="false">10000*D16</f>
        <v>13700</v>
      </c>
    </row>
    <row r="113" customFormat="false" ht="12.75" hidden="false" customHeight="false" outlineLevel="0" collapsed="false">
      <c r="G113" s="68" t="n">
        <f aca="false">10000*D17</f>
        <v>14000</v>
      </c>
    </row>
    <row r="114" customFormat="false" ht="12.75" hidden="false" customHeight="false" outlineLevel="0" collapsed="false">
      <c r="G114" s="68" t="n">
        <f aca="false">10000*D18</f>
        <v>14300</v>
      </c>
    </row>
    <row r="115" customFormat="false" ht="12.75" hidden="false" customHeight="false" outlineLevel="0" collapsed="false">
      <c r="G115" s="68" t="n">
        <f aca="false">10000*D19</f>
        <v>14700</v>
      </c>
    </row>
    <row r="116" customFormat="false" ht="12.75" hidden="false" customHeight="false" outlineLevel="0" collapsed="false">
      <c r="G116" s="68" t="n">
        <f aca="false">10000*D20</f>
        <v>15000</v>
      </c>
    </row>
    <row r="117" customFormat="false" ht="12.75" hidden="false" customHeight="false" outlineLevel="0" collapsed="false">
      <c r="G117" s="68" t="n">
        <f aca="false">10000*D21</f>
        <v>15400</v>
      </c>
    </row>
    <row r="118" customFormat="false" ht="12.75" hidden="false" customHeight="false" outlineLevel="0" collapsed="false">
      <c r="G118" s="68" t="n">
        <f aca="false">10000*D22</f>
        <v>15800</v>
      </c>
    </row>
    <row r="119" customFormat="false" ht="12.75" hidden="false" customHeight="false" outlineLevel="0" collapsed="false">
      <c r="G119" s="68" t="n">
        <f aca="false">10000*D23</f>
        <v>16200</v>
      </c>
    </row>
    <row r="120" customFormat="false" ht="12.75" hidden="false" customHeight="false" outlineLevel="0" collapsed="false">
      <c r="G120" s="68" t="n">
        <f aca="false">10000*D24</f>
        <v>16500</v>
      </c>
    </row>
    <row r="121" customFormat="false" ht="12.75" hidden="false" customHeight="false" outlineLevel="0" collapsed="false">
      <c r="G121" s="68" t="n">
        <f aca="false">10000*D25</f>
        <v>16900</v>
      </c>
    </row>
    <row r="122" customFormat="false" ht="12.75" hidden="false" customHeight="false" outlineLevel="0" collapsed="false">
      <c r="G122" s="68" t="n">
        <f aca="false">10000*D26</f>
        <v>17400</v>
      </c>
    </row>
    <row r="123" customFormat="false" ht="12.75" hidden="false" customHeight="false" outlineLevel="0" collapsed="false">
      <c r="G123" s="68" t="n">
        <f aca="false">10000*D27</f>
        <v>17800</v>
      </c>
    </row>
    <row r="124" customFormat="false" ht="12.75" hidden="false" customHeight="false" outlineLevel="0" collapsed="false">
      <c r="G124" s="68" t="n">
        <f aca="false">10000*D28</f>
        <v>18200</v>
      </c>
    </row>
    <row r="125" customFormat="false" ht="12.75" hidden="false" customHeight="false" outlineLevel="0" collapsed="false">
      <c r="G125" s="68" t="n">
        <f aca="false">10000*D29</f>
        <v>18700</v>
      </c>
    </row>
    <row r="126" customFormat="false" ht="12.75" hidden="false" customHeight="false" outlineLevel="0" collapsed="false">
      <c r="G126" s="68" t="n">
        <f aca="false">10000*D30</f>
        <v>19100</v>
      </c>
    </row>
    <row r="127" customFormat="false" ht="12.75" hidden="false" customHeight="false" outlineLevel="0" collapsed="false">
      <c r="G127" s="68" t="n">
        <f aca="false">10000*D31</f>
        <v>19600</v>
      </c>
    </row>
    <row r="128" customFormat="false" ht="12.75" hidden="false" customHeight="false" outlineLevel="0" collapsed="false">
      <c r="G128" s="68" t="n">
        <f aca="false">10000*D32</f>
        <v>20000</v>
      </c>
    </row>
    <row r="129" customFormat="false" ht="12.75" hidden="false" customHeight="false" outlineLevel="0" collapsed="false">
      <c r="G129" s="68" t="n">
        <f aca="false">10000*D33</f>
        <v>20500</v>
      </c>
    </row>
    <row r="130" customFormat="false" ht="12.75" hidden="false" customHeight="false" outlineLevel="0" collapsed="false">
      <c r="G130" s="68" t="n">
        <f aca="false">10000*D34</f>
        <v>21000</v>
      </c>
    </row>
    <row r="131" customFormat="false" ht="12.75" hidden="false" customHeight="false" outlineLevel="0" collapsed="false">
      <c r="G131" s="68" t="n">
        <f aca="false">10000*D35</f>
        <v>21500</v>
      </c>
    </row>
    <row r="132" customFormat="false" ht="12.75" hidden="false" customHeight="false" outlineLevel="0" collapsed="false">
      <c r="G132" s="68" t="n">
        <f aca="false">10000*D36</f>
        <v>22100</v>
      </c>
    </row>
    <row r="133" customFormat="false" ht="12.75" hidden="false" customHeight="false" outlineLevel="0" collapsed="false">
      <c r="G133" s="68" t="n">
        <f aca="false">10000*D37</f>
        <v>22600</v>
      </c>
    </row>
    <row r="134" customFormat="false" ht="12.75" hidden="false" customHeight="false" outlineLevel="0" collapsed="false">
      <c r="G134" s="68" t="n">
        <f aca="false">10000*D38</f>
        <v>23200</v>
      </c>
    </row>
    <row r="135" customFormat="false" ht="12.75" hidden="false" customHeight="false" outlineLevel="0" collapsed="false">
      <c r="G135" s="68" t="n">
        <f aca="false">10000*D39</f>
        <v>23700</v>
      </c>
    </row>
    <row r="136" customFormat="false" ht="12.75" hidden="false" customHeight="false" outlineLevel="0" collapsed="false">
      <c r="G136" s="68" t="n">
        <f aca="false">10000*D40</f>
        <v>24300</v>
      </c>
    </row>
    <row r="137" customFormat="false" ht="12.75" hidden="false" customHeight="false" outlineLevel="0" collapsed="false">
      <c r="G137" s="68" t="n">
        <f aca="false">10000*D41</f>
        <v>24900</v>
      </c>
    </row>
    <row r="138" customFormat="false" ht="12.75" hidden="false" customHeight="false" outlineLevel="0" collapsed="false">
      <c r="G138" s="68" t="n">
        <f aca="false">10000*D42</f>
        <v>25500</v>
      </c>
    </row>
    <row r="139" customFormat="false" ht="12.75" hidden="false" customHeight="false" outlineLevel="0" collapsed="false">
      <c r="G139" s="68" t="n">
        <f aca="false">10000*D43</f>
        <v>26100</v>
      </c>
    </row>
    <row r="140" customFormat="false" ht="12.75" hidden="false" customHeight="false" outlineLevel="0" collapsed="false">
      <c r="G140" s="68" t="n">
        <f aca="false">10000*D44</f>
        <v>26700</v>
      </c>
    </row>
    <row r="141" customFormat="false" ht="12.75" hidden="false" customHeight="false" outlineLevel="0" collapsed="false">
      <c r="G141" s="68" t="n">
        <f aca="false">10000*D45</f>
        <v>27400</v>
      </c>
    </row>
    <row r="142" customFormat="false" ht="12.75" hidden="false" customHeight="false" outlineLevel="0" collapsed="false">
      <c r="G142" s="68" t="n">
        <f aca="false">10000*D46</f>
        <v>28000</v>
      </c>
    </row>
    <row r="143" customFormat="false" ht="12.75" hidden="false" customHeight="false" outlineLevel="0" collapsed="false">
      <c r="G143" s="68" t="n">
        <f aca="false">10000*D47</f>
        <v>28700</v>
      </c>
    </row>
    <row r="144" customFormat="false" ht="12.75" hidden="false" customHeight="false" outlineLevel="0" collapsed="false">
      <c r="G144" s="68" t="n">
        <f aca="false">10000*D48</f>
        <v>29400</v>
      </c>
    </row>
    <row r="145" customFormat="false" ht="12.75" hidden="false" customHeight="false" outlineLevel="0" collapsed="false">
      <c r="G145" s="68" t="n">
        <f aca="false">10000*D49</f>
        <v>30100</v>
      </c>
    </row>
    <row r="146" customFormat="false" ht="12.75" hidden="false" customHeight="false" outlineLevel="0" collapsed="false">
      <c r="G146" s="68" t="n">
        <f aca="false">10000*D50</f>
        <v>30900</v>
      </c>
    </row>
    <row r="147" customFormat="false" ht="12.75" hidden="false" customHeight="false" outlineLevel="0" collapsed="false">
      <c r="G147" s="68" t="n">
        <f aca="false">10000*D51</f>
        <v>31600</v>
      </c>
    </row>
    <row r="148" customFormat="false" ht="12.75" hidden="false" customHeight="false" outlineLevel="0" collapsed="false">
      <c r="G148" s="68" t="n">
        <f aca="false">10000*D52</f>
        <v>32400</v>
      </c>
    </row>
    <row r="149" customFormat="false" ht="12.75" hidden="false" customHeight="false" outlineLevel="0" collapsed="false">
      <c r="G149" s="68" t="n">
        <f aca="false">10000*D53</f>
        <v>33200</v>
      </c>
    </row>
    <row r="150" customFormat="false" ht="12.75" hidden="false" customHeight="false" outlineLevel="0" collapsed="false">
      <c r="G150" s="68" t="n">
        <f aca="false">10000*D54</f>
        <v>34000</v>
      </c>
    </row>
    <row r="151" customFormat="false" ht="12.75" hidden="false" customHeight="false" outlineLevel="0" collapsed="false">
      <c r="G151" s="68" t="n">
        <f aca="false">10000*D55</f>
        <v>34800</v>
      </c>
    </row>
    <row r="152" customFormat="false" ht="12.75" hidden="false" customHeight="false" outlineLevel="0" collapsed="false">
      <c r="G152" s="68" t="n">
        <f aca="false">10000*D56</f>
        <v>35700</v>
      </c>
    </row>
    <row r="153" customFormat="false" ht="12.75" hidden="false" customHeight="false" outlineLevel="0" collapsed="false">
      <c r="G153" s="68" t="n">
        <f aca="false">10000*D57</f>
        <v>36500</v>
      </c>
    </row>
    <row r="154" customFormat="false" ht="12.75" hidden="false" customHeight="false" outlineLevel="0" collapsed="false">
      <c r="G154" s="68" t="n">
        <f aca="false">10000*D58</f>
        <v>37400</v>
      </c>
    </row>
    <row r="155" customFormat="false" ht="12.75" hidden="false" customHeight="false" outlineLevel="0" collapsed="false">
      <c r="G155" s="68" t="n">
        <f aca="false">10000*D59</f>
        <v>38300</v>
      </c>
    </row>
    <row r="156" customFormat="false" ht="12.75" hidden="false" customHeight="false" outlineLevel="0" collapsed="false">
      <c r="G156" s="68" t="n">
        <f aca="false">10000*D60</f>
        <v>39200</v>
      </c>
    </row>
    <row r="157" customFormat="false" ht="12.75" hidden="false" customHeight="false" outlineLevel="0" collapsed="false">
      <c r="G157" s="68" t="n">
        <f aca="false">10000*D61</f>
        <v>40200</v>
      </c>
    </row>
    <row r="158" customFormat="false" ht="12.75" hidden="false" customHeight="false" outlineLevel="0" collapsed="false">
      <c r="G158" s="68" t="n">
        <f aca="false">10000*D62</f>
        <v>41200</v>
      </c>
    </row>
    <row r="159" customFormat="false" ht="12.75" hidden="false" customHeight="false" outlineLevel="0" collapsed="false">
      <c r="G159" s="68" t="n">
        <f aca="false">10000*D63</f>
        <v>42200</v>
      </c>
    </row>
    <row r="160" customFormat="false" ht="12.75" hidden="false" customHeight="false" outlineLevel="0" collapsed="false">
      <c r="G160" s="68" t="n">
        <f aca="false">10000*D64</f>
        <v>43200</v>
      </c>
    </row>
    <row r="161" customFormat="false" ht="12.75" hidden="false" customHeight="false" outlineLevel="0" collapsed="false">
      <c r="G161" s="68" t="n">
        <f aca="false">10000*D65</f>
        <v>44200</v>
      </c>
    </row>
    <row r="162" customFormat="false" ht="12.75" hidden="false" customHeight="false" outlineLevel="0" collapsed="false">
      <c r="G162" s="68" t="n">
        <f aca="false">10000*D66</f>
        <v>45300</v>
      </c>
    </row>
    <row r="163" customFormat="false" ht="12.75" hidden="false" customHeight="false" outlineLevel="0" collapsed="false">
      <c r="G163" s="68" t="n">
        <f aca="false">10000*D67</f>
        <v>46400</v>
      </c>
    </row>
    <row r="164" customFormat="false" ht="12.75" hidden="false" customHeight="false" outlineLevel="0" collapsed="false">
      <c r="G164" s="68" t="n">
        <f aca="false">10000*D68</f>
        <v>47500</v>
      </c>
    </row>
    <row r="165" customFormat="false" ht="12.75" hidden="false" customHeight="false" outlineLevel="0" collapsed="false">
      <c r="G165" s="68" t="n">
        <f aca="false">10000*D69</f>
        <v>48700</v>
      </c>
    </row>
    <row r="166" customFormat="false" ht="12.75" hidden="false" customHeight="false" outlineLevel="0" collapsed="false">
      <c r="G166" s="68" t="n">
        <f aca="false">10000*D70</f>
        <v>49900</v>
      </c>
    </row>
    <row r="167" customFormat="false" ht="12.75" hidden="false" customHeight="false" outlineLevel="0" collapsed="false">
      <c r="G167" s="68" t="n">
        <f aca="false">10000*D71</f>
        <v>51100</v>
      </c>
    </row>
    <row r="168" customFormat="false" ht="12.75" hidden="false" customHeight="false" outlineLevel="0" collapsed="false">
      <c r="G168" s="68" t="n">
        <f aca="false">10000*D72</f>
        <v>52300</v>
      </c>
    </row>
    <row r="169" customFormat="false" ht="12.75" hidden="false" customHeight="false" outlineLevel="0" collapsed="false">
      <c r="G169" s="68" t="n">
        <f aca="false">10000*D73</f>
        <v>53600</v>
      </c>
    </row>
    <row r="170" customFormat="false" ht="12.75" hidden="false" customHeight="false" outlineLevel="0" collapsed="false">
      <c r="G170" s="68" t="n">
        <f aca="false">10000*D74</f>
        <v>54900</v>
      </c>
    </row>
    <row r="171" customFormat="false" ht="12.75" hidden="false" customHeight="false" outlineLevel="0" collapsed="false">
      <c r="G171" s="68" t="n">
        <f aca="false">10000*D75</f>
        <v>56200</v>
      </c>
    </row>
    <row r="172" customFormat="false" ht="12.75" hidden="false" customHeight="false" outlineLevel="0" collapsed="false">
      <c r="G172" s="68" t="n">
        <f aca="false">10000*D76</f>
        <v>57600</v>
      </c>
    </row>
    <row r="173" customFormat="false" ht="12.75" hidden="false" customHeight="false" outlineLevel="0" collapsed="false">
      <c r="G173" s="68" t="n">
        <f aca="false">10000*D77</f>
        <v>59000</v>
      </c>
    </row>
    <row r="174" customFormat="false" ht="12.75" hidden="false" customHeight="false" outlineLevel="0" collapsed="false">
      <c r="G174" s="68" t="n">
        <f aca="false">10000*D78</f>
        <v>60400</v>
      </c>
    </row>
    <row r="175" customFormat="false" ht="12.75" hidden="false" customHeight="false" outlineLevel="0" collapsed="false">
      <c r="G175" s="68" t="n">
        <f aca="false">10000*D79</f>
        <v>61900</v>
      </c>
    </row>
    <row r="176" customFormat="false" ht="12.75" hidden="false" customHeight="false" outlineLevel="0" collapsed="false">
      <c r="G176" s="68" t="n">
        <f aca="false">10000*D80</f>
        <v>63400</v>
      </c>
    </row>
    <row r="177" customFormat="false" ht="12.75" hidden="false" customHeight="false" outlineLevel="0" collapsed="false">
      <c r="G177" s="68" t="n">
        <f aca="false">10000*D81</f>
        <v>64900</v>
      </c>
    </row>
    <row r="178" customFormat="false" ht="12.75" hidden="false" customHeight="false" outlineLevel="0" collapsed="false">
      <c r="G178" s="68" t="n">
        <f aca="false">10000*D82</f>
        <v>66500</v>
      </c>
    </row>
    <row r="179" customFormat="false" ht="12.75" hidden="false" customHeight="false" outlineLevel="0" collapsed="false">
      <c r="G179" s="68" t="n">
        <f aca="false">10000*D83</f>
        <v>68100</v>
      </c>
    </row>
    <row r="180" customFormat="false" ht="12.75" hidden="false" customHeight="false" outlineLevel="0" collapsed="false">
      <c r="G180" s="68" t="n">
        <f aca="false">10000*D84</f>
        <v>69800</v>
      </c>
    </row>
    <row r="181" customFormat="false" ht="12.75" hidden="false" customHeight="false" outlineLevel="0" collapsed="false">
      <c r="G181" s="68" t="n">
        <f aca="false">10000*D85</f>
        <v>71500</v>
      </c>
    </row>
    <row r="182" customFormat="false" ht="12.75" hidden="false" customHeight="false" outlineLevel="0" collapsed="false">
      <c r="G182" s="68" t="n">
        <f aca="false">10000*D86</f>
        <v>73200</v>
      </c>
    </row>
    <row r="183" customFormat="false" ht="12.75" hidden="false" customHeight="false" outlineLevel="0" collapsed="false">
      <c r="G183" s="68" t="n">
        <f aca="false">10000*D87</f>
        <v>75000</v>
      </c>
    </row>
    <row r="184" customFormat="false" ht="12.75" hidden="false" customHeight="false" outlineLevel="0" collapsed="false">
      <c r="G184" s="68" t="n">
        <f aca="false">10000*D88</f>
        <v>76800</v>
      </c>
    </row>
    <row r="185" customFormat="false" ht="12.75" hidden="false" customHeight="false" outlineLevel="0" collapsed="false">
      <c r="G185" s="68" t="n">
        <f aca="false">10000*D89</f>
        <v>78700</v>
      </c>
    </row>
    <row r="186" customFormat="false" ht="12.75" hidden="false" customHeight="false" outlineLevel="0" collapsed="false">
      <c r="G186" s="68" t="n">
        <f aca="false">10000*D90</f>
        <v>80600</v>
      </c>
    </row>
    <row r="187" customFormat="false" ht="12.75" hidden="false" customHeight="false" outlineLevel="0" collapsed="false">
      <c r="G187" s="68" t="n">
        <f aca="false">10000*D91</f>
        <v>82500</v>
      </c>
    </row>
    <row r="188" customFormat="false" ht="12.75" hidden="false" customHeight="false" outlineLevel="0" collapsed="false">
      <c r="G188" s="68" t="n">
        <f aca="false">10000*D92</f>
        <v>84500</v>
      </c>
    </row>
    <row r="189" customFormat="false" ht="12.75" hidden="false" customHeight="false" outlineLevel="0" collapsed="false">
      <c r="G189" s="68" t="n">
        <f aca="false">10000*D93</f>
        <v>86600</v>
      </c>
    </row>
    <row r="190" customFormat="false" ht="12.75" hidden="false" customHeight="false" outlineLevel="0" collapsed="false">
      <c r="G190" s="68" t="n">
        <f aca="false">10000*D94</f>
        <v>88700</v>
      </c>
    </row>
    <row r="191" customFormat="false" ht="12.75" hidden="false" customHeight="false" outlineLevel="0" collapsed="false">
      <c r="G191" s="68" t="n">
        <f aca="false">10000*D95</f>
        <v>90900</v>
      </c>
    </row>
    <row r="192" customFormat="false" ht="12.75" hidden="false" customHeight="false" outlineLevel="0" collapsed="false">
      <c r="G192" s="68" t="n">
        <f aca="false">10000*D96</f>
        <v>93100</v>
      </c>
    </row>
    <row r="193" customFormat="false" ht="12.75" hidden="false" customHeight="false" outlineLevel="0" collapsed="false">
      <c r="G193" s="68" t="n">
        <f aca="false">10000*D97</f>
        <v>95300</v>
      </c>
    </row>
    <row r="194" customFormat="false" ht="12.75" hidden="false" customHeight="false" outlineLevel="0" collapsed="false">
      <c r="G194" s="68" t="n">
        <f aca="false">10000*D98</f>
        <v>97600</v>
      </c>
    </row>
    <row r="195" customFormat="false" ht="12.75" hidden="false" customHeight="false" outlineLevel="0" collapsed="false">
      <c r="F195" s="0" t="s">
        <v>145</v>
      </c>
      <c r="G195" s="68" t="n">
        <f aca="false">100000*D3</f>
        <v>100000</v>
      </c>
    </row>
    <row r="196" customFormat="false" ht="12.75" hidden="false" customHeight="false" outlineLevel="0" collapsed="false">
      <c r="G196" s="68" t="n">
        <f aca="false">100000*D4</f>
        <v>102000</v>
      </c>
    </row>
    <row r="197" customFormat="false" ht="12.75" hidden="false" customHeight="false" outlineLevel="0" collapsed="false">
      <c r="G197" s="68" t="n">
        <f aca="false">100000*D5</f>
        <v>105000</v>
      </c>
    </row>
    <row r="198" customFormat="false" ht="12.75" hidden="false" customHeight="false" outlineLevel="0" collapsed="false">
      <c r="G198" s="68" t="n">
        <f aca="false">100000*D6</f>
        <v>107000</v>
      </c>
    </row>
    <row r="199" customFormat="false" ht="12.75" hidden="false" customHeight="false" outlineLevel="0" collapsed="false">
      <c r="G199" s="68" t="n">
        <f aca="false">100000*D7</f>
        <v>110000</v>
      </c>
    </row>
    <row r="200" customFormat="false" ht="12.75" hidden="false" customHeight="false" outlineLevel="0" collapsed="false">
      <c r="G200" s="68" t="n">
        <f aca="false">100000*D8</f>
        <v>113000</v>
      </c>
    </row>
    <row r="201" customFormat="false" ht="12.75" hidden="false" customHeight="false" outlineLevel="0" collapsed="false">
      <c r="G201" s="68" t="n">
        <f aca="false">100000*D9</f>
        <v>115000</v>
      </c>
    </row>
    <row r="202" customFormat="false" ht="12.75" hidden="false" customHeight="false" outlineLevel="0" collapsed="false">
      <c r="G202" s="68" t="n">
        <f aca="false">100000*D10</f>
        <v>118000</v>
      </c>
    </row>
    <row r="203" customFormat="false" ht="12.75" hidden="false" customHeight="false" outlineLevel="0" collapsed="false">
      <c r="G203" s="68" t="n">
        <f aca="false">100000*D11</f>
        <v>121000</v>
      </c>
    </row>
    <row r="204" customFormat="false" ht="12.75" hidden="false" customHeight="false" outlineLevel="0" collapsed="false">
      <c r="G204" s="68" t="n">
        <f aca="false">100000*D12</f>
        <v>124000</v>
      </c>
    </row>
    <row r="205" customFormat="false" ht="12.75" hidden="false" customHeight="false" outlineLevel="0" collapsed="false">
      <c r="G205" s="68" t="n">
        <f aca="false">100000*D13</f>
        <v>127000</v>
      </c>
    </row>
    <row r="206" customFormat="false" ht="12.75" hidden="false" customHeight="false" outlineLevel="0" collapsed="false">
      <c r="G206" s="68" t="n">
        <f aca="false">100000*D14</f>
        <v>130000</v>
      </c>
    </row>
    <row r="207" customFormat="false" ht="12.75" hidden="false" customHeight="false" outlineLevel="0" collapsed="false">
      <c r="G207" s="68" t="n">
        <f aca="false">100000*D15</f>
        <v>133000</v>
      </c>
    </row>
    <row r="208" customFormat="false" ht="12.75" hidden="false" customHeight="false" outlineLevel="0" collapsed="false">
      <c r="G208" s="68" t="n">
        <f aca="false">100000*D16</f>
        <v>137000</v>
      </c>
    </row>
    <row r="209" customFormat="false" ht="12.75" hidden="false" customHeight="false" outlineLevel="0" collapsed="false">
      <c r="G209" s="68" t="n">
        <f aca="false">100000*D17</f>
        <v>140000</v>
      </c>
    </row>
    <row r="210" customFormat="false" ht="12.75" hidden="false" customHeight="false" outlineLevel="0" collapsed="false">
      <c r="G210" s="68" t="n">
        <f aca="false">100000*D18</f>
        <v>143000</v>
      </c>
    </row>
    <row r="211" customFormat="false" ht="12.75" hidden="false" customHeight="false" outlineLevel="0" collapsed="false">
      <c r="G211" s="68" t="n">
        <f aca="false">100000*D19</f>
        <v>147000</v>
      </c>
    </row>
    <row r="212" customFormat="false" ht="12.75" hidden="false" customHeight="false" outlineLevel="0" collapsed="false">
      <c r="G212" s="68" t="n">
        <f aca="false">100000*D20</f>
        <v>150000</v>
      </c>
    </row>
    <row r="213" customFormat="false" ht="12.75" hidden="false" customHeight="false" outlineLevel="0" collapsed="false">
      <c r="G213" s="68" t="n">
        <f aca="false">100000*D21</f>
        <v>154000</v>
      </c>
    </row>
    <row r="214" customFormat="false" ht="12.75" hidden="false" customHeight="false" outlineLevel="0" collapsed="false">
      <c r="G214" s="68" t="n">
        <f aca="false">100000*D22</f>
        <v>158000</v>
      </c>
    </row>
    <row r="215" customFormat="false" ht="12.75" hidden="false" customHeight="false" outlineLevel="0" collapsed="false">
      <c r="G215" s="68" t="n">
        <f aca="false">100000*D23</f>
        <v>162000</v>
      </c>
    </row>
    <row r="216" customFormat="false" ht="12.75" hidden="false" customHeight="false" outlineLevel="0" collapsed="false">
      <c r="G216" s="68" t="n">
        <f aca="false">100000*D24</f>
        <v>165000</v>
      </c>
    </row>
    <row r="217" customFormat="false" ht="12.75" hidden="false" customHeight="false" outlineLevel="0" collapsed="false">
      <c r="G217" s="68" t="n">
        <f aca="false">100000*D25</f>
        <v>169000</v>
      </c>
    </row>
    <row r="218" customFormat="false" ht="12.75" hidden="false" customHeight="false" outlineLevel="0" collapsed="false">
      <c r="G218" s="68" t="n">
        <f aca="false">100000*D26</f>
        <v>174000</v>
      </c>
    </row>
    <row r="219" customFormat="false" ht="12.75" hidden="false" customHeight="false" outlineLevel="0" collapsed="false">
      <c r="G219" s="68" t="n">
        <f aca="false">100000*D27</f>
        <v>178000</v>
      </c>
    </row>
    <row r="220" customFormat="false" ht="12.75" hidden="false" customHeight="false" outlineLevel="0" collapsed="false">
      <c r="G220" s="68" t="n">
        <f aca="false">100000*D28</f>
        <v>182000</v>
      </c>
    </row>
    <row r="221" customFormat="false" ht="12.75" hidden="false" customHeight="false" outlineLevel="0" collapsed="false">
      <c r="G221" s="68" t="n">
        <f aca="false">100000*D29</f>
        <v>187000</v>
      </c>
    </row>
    <row r="222" customFormat="false" ht="12.75" hidden="false" customHeight="false" outlineLevel="0" collapsed="false">
      <c r="G222" s="68" t="n">
        <f aca="false">100000*D30</f>
        <v>191000</v>
      </c>
    </row>
    <row r="223" customFormat="false" ht="12.75" hidden="false" customHeight="false" outlineLevel="0" collapsed="false">
      <c r="G223" s="68" t="n">
        <f aca="false">100000*D31</f>
        <v>196000</v>
      </c>
    </row>
    <row r="224" customFormat="false" ht="12.75" hidden="false" customHeight="false" outlineLevel="0" collapsed="false">
      <c r="G224" s="68" t="n">
        <f aca="false">100000*D32</f>
        <v>200000</v>
      </c>
    </row>
    <row r="225" customFormat="false" ht="12.75" hidden="false" customHeight="false" outlineLevel="0" collapsed="false">
      <c r="G225" s="68" t="n">
        <f aca="false">100000*D33</f>
        <v>205000</v>
      </c>
    </row>
    <row r="226" customFormat="false" ht="12.75" hidden="false" customHeight="false" outlineLevel="0" collapsed="false">
      <c r="G226" s="68" t="n">
        <f aca="false">100000*D34</f>
        <v>210000</v>
      </c>
    </row>
    <row r="227" customFormat="false" ht="12.75" hidden="false" customHeight="false" outlineLevel="0" collapsed="false">
      <c r="G227" s="68" t="n">
        <f aca="false">100000*D35</f>
        <v>215000</v>
      </c>
    </row>
    <row r="228" customFormat="false" ht="12.75" hidden="false" customHeight="false" outlineLevel="0" collapsed="false">
      <c r="G228" s="68" t="n">
        <f aca="false">100000*D36</f>
        <v>221000</v>
      </c>
    </row>
    <row r="229" customFormat="false" ht="12.75" hidden="false" customHeight="false" outlineLevel="0" collapsed="false">
      <c r="G229" s="68" t="n">
        <f aca="false">100000*D37</f>
        <v>226000</v>
      </c>
    </row>
    <row r="230" customFormat="false" ht="12.75" hidden="false" customHeight="false" outlineLevel="0" collapsed="false">
      <c r="G230" s="68" t="n">
        <f aca="false">100000*D38</f>
        <v>232000</v>
      </c>
    </row>
    <row r="231" customFormat="false" ht="12.75" hidden="false" customHeight="false" outlineLevel="0" collapsed="false">
      <c r="G231" s="68" t="n">
        <f aca="false">100000*D39</f>
        <v>237000</v>
      </c>
    </row>
    <row r="232" customFormat="false" ht="12.75" hidden="false" customHeight="false" outlineLevel="0" collapsed="false">
      <c r="G232" s="68" t="n">
        <f aca="false">100000*D40</f>
        <v>243000</v>
      </c>
    </row>
    <row r="233" customFormat="false" ht="12.75" hidden="false" customHeight="false" outlineLevel="0" collapsed="false">
      <c r="G233" s="68" t="n">
        <f aca="false">100000*D41</f>
        <v>249000</v>
      </c>
    </row>
    <row r="234" customFormat="false" ht="12.75" hidden="false" customHeight="false" outlineLevel="0" collapsed="false">
      <c r="G234" s="68" t="n">
        <f aca="false">100000*D42</f>
        <v>255000</v>
      </c>
    </row>
    <row r="235" customFormat="false" ht="12.75" hidden="false" customHeight="false" outlineLevel="0" collapsed="false">
      <c r="G235" s="68" t="n">
        <f aca="false">100000*D43</f>
        <v>261000</v>
      </c>
    </row>
    <row r="236" customFormat="false" ht="12.75" hidden="false" customHeight="false" outlineLevel="0" collapsed="false">
      <c r="G236" s="68" t="n">
        <f aca="false">100000*D44</f>
        <v>267000</v>
      </c>
    </row>
    <row r="237" customFormat="false" ht="12.75" hidden="false" customHeight="false" outlineLevel="0" collapsed="false">
      <c r="G237" s="68" t="n">
        <f aca="false">100000*D45</f>
        <v>274000</v>
      </c>
    </row>
    <row r="238" customFormat="false" ht="12.75" hidden="false" customHeight="false" outlineLevel="0" collapsed="false">
      <c r="G238" s="68" t="n">
        <f aca="false">100000*D46</f>
        <v>280000</v>
      </c>
    </row>
    <row r="239" customFormat="false" ht="12.75" hidden="false" customHeight="false" outlineLevel="0" collapsed="false">
      <c r="G239" s="68" t="n">
        <f aca="false">100000*D47</f>
        <v>287000</v>
      </c>
    </row>
    <row r="240" customFormat="false" ht="12.75" hidden="false" customHeight="false" outlineLevel="0" collapsed="false">
      <c r="G240" s="68" t="n">
        <f aca="false">100000*D48</f>
        <v>294000</v>
      </c>
    </row>
    <row r="241" customFormat="false" ht="12.75" hidden="false" customHeight="false" outlineLevel="0" collapsed="false">
      <c r="G241" s="68" t="n">
        <f aca="false">100000*D49</f>
        <v>301000</v>
      </c>
    </row>
    <row r="242" customFormat="false" ht="12.75" hidden="false" customHeight="false" outlineLevel="0" collapsed="false">
      <c r="G242" s="68" t="n">
        <f aca="false">100000*D50</f>
        <v>309000</v>
      </c>
    </row>
    <row r="243" customFormat="false" ht="12.75" hidden="false" customHeight="false" outlineLevel="0" collapsed="false">
      <c r="G243" s="68" t="n">
        <f aca="false">100000*D51</f>
        <v>316000</v>
      </c>
    </row>
    <row r="244" customFormat="false" ht="12.75" hidden="false" customHeight="false" outlineLevel="0" collapsed="false">
      <c r="G244" s="68" t="n">
        <f aca="false">100000*D52</f>
        <v>324000</v>
      </c>
    </row>
    <row r="245" customFormat="false" ht="12.75" hidden="false" customHeight="false" outlineLevel="0" collapsed="false">
      <c r="G245" s="68" t="n">
        <f aca="false">100000*D53</f>
        <v>332000</v>
      </c>
    </row>
    <row r="246" customFormat="false" ht="12.75" hidden="false" customHeight="false" outlineLevel="0" collapsed="false">
      <c r="G246" s="68" t="n">
        <f aca="false">100000*D54</f>
        <v>340000</v>
      </c>
    </row>
    <row r="247" customFormat="false" ht="12.75" hidden="false" customHeight="false" outlineLevel="0" collapsed="false">
      <c r="G247" s="68" t="n">
        <f aca="false">100000*D55</f>
        <v>348000</v>
      </c>
    </row>
    <row r="248" customFormat="false" ht="12.75" hidden="false" customHeight="false" outlineLevel="0" collapsed="false">
      <c r="G248" s="68" t="n">
        <f aca="false">100000*D56</f>
        <v>357000</v>
      </c>
    </row>
    <row r="249" customFormat="false" ht="12.75" hidden="false" customHeight="false" outlineLevel="0" collapsed="false">
      <c r="G249" s="68" t="n">
        <f aca="false">100000*D57</f>
        <v>365000</v>
      </c>
    </row>
    <row r="250" customFormat="false" ht="12.75" hidden="false" customHeight="false" outlineLevel="0" collapsed="false">
      <c r="G250" s="68" t="n">
        <f aca="false">100000*D58</f>
        <v>374000</v>
      </c>
    </row>
    <row r="251" customFormat="false" ht="12.75" hidden="false" customHeight="false" outlineLevel="0" collapsed="false">
      <c r="G251" s="68" t="n">
        <f aca="false">100000*D59</f>
        <v>383000</v>
      </c>
    </row>
    <row r="252" customFormat="false" ht="12.75" hidden="false" customHeight="false" outlineLevel="0" collapsed="false">
      <c r="G252" s="68" t="n">
        <f aca="false">100000*D60</f>
        <v>392000</v>
      </c>
    </row>
    <row r="253" customFormat="false" ht="12.75" hidden="false" customHeight="false" outlineLevel="0" collapsed="false">
      <c r="G253" s="68" t="n">
        <f aca="false">100000*D61</f>
        <v>402000</v>
      </c>
    </row>
    <row r="254" customFormat="false" ht="12.75" hidden="false" customHeight="false" outlineLevel="0" collapsed="false">
      <c r="G254" s="68" t="n">
        <f aca="false">100000*D62</f>
        <v>412000</v>
      </c>
    </row>
    <row r="255" customFormat="false" ht="12.75" hidden="false" customHeight="false" outlineLevel="0" collapsed="false">
      <c r="G255" s="68" t="n">
        <f aca="false">100000*D63</f>
        <v>422000</v>
      </c>
    </row>
    <row r="256" customFormat="false" ht="12.75" hidden="false" customHeight="false" outlineLevel="0" collapsed="false">
      <c r="G256" s="68" t="n">
        <f aca="false">100000*D64</f>
        <v>432000</v>
      </c>
    </row>
    <row r="257" customFormat="false" ht="12.75" hidden="false" customHeight="false" outlineLevel="0" collapsed="false">
      <c r="G257" s="68" t="n">
        <f aca="false">100000*D65</f>
        <v>442000</v>
      </c>
    </row>
    <row r="258" customFormat="false" ht="12.75" hidden="false" customHeight="false" outlineLevel="0" collapsed="false">
      <c r="G258" s="68" t="n">
        <f aca="false">100000*D66</f>
        <v>453000</v>
      </c>
    </row>
    <row r="259" customFormat="false" ht="12.75" hidden="false" customHeight="false" outlineLevel="0" collapsed="false">
      <c r="G259" s="68" t="n">
        <f aca="false">100000*D67</f>
        <v>464000</v>
      </c>
    </row>
    <row r="260" customFormat="false" ht="12.75" hidden="false" customHeight="false" outlineLevel="0" collapsed="false">
      <c r="G260" s="68" t="n">
        <f aca="false">100000*D68</f>
        <v>475000</v>
      </c>
    </row>
    <row r="261" customFormat="false" ht="12.75" hidden="false" customHeight="false" outlineLevel="0" collapsed="false">
      <c r="G261" s="68" t="n">
        <f aca="false">100000*D69</f>
        <v>487000</v>
      </c>
    </row>
    <row r="262" customFormat="false" ht="12.75" hidden="false" customHeight="false" outlineLevel="0" collapsed="false">
      <c r="G262" s="68" t="n">
        <f aca="false">100000*D70</f>
        <v>499000</v>
      </c>
    </row>
    <row r="263" customFormat="false" ht="12.75" hidden="false" customHeight="false" outlineLevel="0" collapsed="false">
      <c r="G263" s="68" t="n">
        <f aca="false">100000*D71</f>
        <v>511000</v>
      </c>
    </row>
    <row r="264" customFormat="false" ht="12.75" hidden="false" customHeight="false" outlineLevel="0" collapsed="false">
      <c r="G264" s="68" t="n">
        <f aca="false">100000*D72</f>
        <v>523000</v>
      </c>
    </row>
    <row r="265" customFormat="false" ht="12.75" hidden="false" customHeight="false" outlineLevel="0" collapsed="false">
      <c r="G265" s="68" t="n">
        <f aca="false">100000*D73</f>
        <v>536000</v>
      </c>
    </row>
    <row r="266" customFormat="false" ht="12.75" hidden="false" customHeight="false" outlineLevel="0" collapsed="false">
      <c r="G266" s="68" t="n">
        <f aca="false">100000*D74</f>
        <v>549000</v>
      </c>
    </row>
    <row r="267" customFormat="false" ht="12.75" hidden="false" customHeight="false" outlineLevel="0" collapsed="false">
      <c r="G267" s="68" t="n">
        <f aca="false">100000*D75</f>
        <v>562000</v>
      </c>
    </row>
    <row r="268" customFormat="false" ht="12.75" hidden="false" customHeight="false" outlineLevel="0" collapsed="false">
      <c r="G268" s="68" t="n">
        <f aca="false">100000*D76</f>
        <v>576000</v>
      </c>
    </row>
    <row r="269" customFormat="false" ht="12.75" hidden="false" customHeight="false" outlineLevel="0" collapsed="false">
      <c r="G269" s="68" t="n">
        <f aca="false">100000*D77</f>
        <v>590000</v>
      </c>
    </row>
    <row r="270" customFormat="false" ht="12.75" hidden="false" customHeight="false" outlineLevel="0" collapsed="false">
      <c r="G270" s="68" t="n">
        <f aca="false">100000*D78</f>
        <v>604000</v>
      </c>
    </row>
    <row r="271" customFormat="false" ht="12.75" hidden="false" customHeight="false" outlineLevel="0" collapsed="false">
      <c r="G271" s="68" t="n">
        <f aca="false">100000*D79</f>
        <v>619000</v>
      </c>
    </row>
    <row r="272" customFormat="false" ht="12.75" hidden="false" customHeight="false" outlineLevel="0" collapsed="false">
      <c r="G272" s="68" t="n">
        <f aca="false">100000*D80</f>
        <v>634000</v>
      </c>
    </row>
    <row r="273" customFormat="false" ht="12.75" hidden="false" customHeight="false" outlineLevel="0" collapsed="false">
      <c r="G273" s="68" t="n">
        <f aca="false">100000*D81</f>
        <v>649000</v>
      </c>
    </row>
    <row r="274" customFormat="false" ht="12.75" hidden="false" customHeight="false" outlineLevel="0" collapsed="false">
      <c r="G274" s="68" t="n">
        <f aca="false">100000*D82</f>
        <v>665000</v>
      </c>
    </row>
    <row r="275" customFormat="false" ht="12.75" hidden="false" customHeight="false" outlineLevel="0" collapsed="false">
      <c r="G275" s="68" t="n">
        <f aca="false">100000*D83</f>
        <v>681000</v>
      </c>
    </row>
    <row r="276" customFormat="false" ht="12.75" hidden="false" customHeight="false" outlineLevel="0" collapsed="false">
      <c r="G276" s="68" t="n">
        <f aca="false">100000*D84</f>
        <v>698000</v>
      </c>
    </row>
    <row r="277" customFormat="false" ht="12.75" hidden="false" customHeight="false" outlineLevel="0" collapsed="false">
      <c r="G277" s="68" t="n">
        <f aca="false">100000*D85</f>
        <v>715000</v>
      </c>
    </row>
    <row r="278" customFormat="false" ht="12.75" hidden="false" customHeight="false" outlineLevel="0" collapsed="false">
      <c r="G278" s="68" t="n">
        <f aca="false">100000*D86</f>
        <v>732000</v>
      </c>
    </row>
    <row r="279" customFormat="false" ht="12.75" hidden="false" customHeight="false" outlineLevel="0" collapsed="false">
      <c r="G279" s="68" t="n">
        <f aca="false">100000*D87</f>
        <v>750000</v>
      </c>
    </row>
    <row r="280" customFormat="false" ht="12.75" hidden="false" customHeight="false" outlineLevel="0" collapsed="false">
      <c r="G280" s="68" t="n">
        <f aca="false">100000*D88</f>
        <v>768000</v>
      </c>
    </row>
    <row r="281" customFormat="false" ht="12.75" hidden="false" customHeight="false" outlineLevel="0" collapsed="false">
      <c r="G281" s="68" t="n">
        <f aca="false">100000*D89</f>
        <v>787000</v>
      </c>
    </row>
    <row r="282" customFormat="false" ht="12.75" hidden="false" customHeight="false" outlineLevel="0" collapsed="false">
      <c r="G282" s="68" t="n">
        <f aca="false">100000*D90</f>
        <v>806000</v>
      </c>
    </row>
    <row r="283" customFormat="false" ht="12.75" hidden="false" customHeight="false" outlineLevel="0" collapsed="false">
      <c r="G283" s="68" t="n">
        <f aca="false">100000*D91</f>
        <v>825000</v>
      </c>
    </row>
    <row r="284" customFormat="false" ht="12.75" hidden="false" customHeight="false" outlineLevel="0" collapsed="false">
      <c r="G284" s="68" t="n">
        <f aca="false">100000*D92</f>
        <v>845000</v>
      </c>
    </row>
    <row r="285" customFormat="false" ht="12.75" hidden="false" customHeight="false" outlineLevel="0" collapsed="false">
      <c r="G285" s="68" t="n">
        <f aca="false">100000*D93</f>
        <v>866000</v>
      </c>
    </row>
    <row r="286" customFormat="false" ht="12.75" hidden="false" customHeight="false" outlineLevel="0" collapsed="false">
      <c r="G286" s="68" t="n">
        <f aca="false">100000*D94</f>
        <v>887000</v>
      </c>
    </row>
    <row r="287" customFormat="false" ht="12.75" hidden="false" customHeight="false" outlineLevel="0" collapsed="false">
      <c r="G287" s="68" t="n">
        <f aca="false">100000*D95</f>
        <v>909000</v>
      </c>
    </row>
    <row r="288" customFormat="false" ht="12.75" hidden="false" customHeight="false" outlineLevel="0" collapsed="false">
      <c r="G288" s="68" t="n">
        <f aca="false">100000*D96</f>
        <v>931000</v>
      </c>
    </row>
    <row r="289" customFormat="false" ht="12.75" hidden="false" customHeight="false" outlineLevel="0" collapsed="false">
      <c r="G289" s="68" t="n">
        <f aca="false">100000*D97</f>
        <v>953000</v>
      </c>
    </row>
    <row r="290" customFormat="false" ht="12.75" hidden="false" customHeight="false" outlineLevel="0" collapsed="false">
      <c r="G290" s="68" t="n">
        <f aca="false">100000*D98</f>
        <v>976000</v>
      </c>
    </row>
    <row r="291" customFormat="false" ht="12.75" hidden="false" customHeight="false" outlineLevel="0" collapsed="false">
      <c r="F291" s="0" t="s">
        <v>146</v>
      </c>
      <c r="G291" s="68" t="n">
        <f aca="false">1000000*D3</f>
        <v>1000000</v>
      </c>
    </row>
    <row r="292" customFormat="false" ht="12.75" hidden="false" customHeight="false" outlineLevel="0" collapsed="false">
      <c r="F292" s="0" t="s">
        <v>147</v>
      </c>
      <c r="G292" s="68" t="n">
        <v>10000000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B3:R3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F11" activeCellId="0" sqref="F1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0" width="12"/>
    <col collapsed="false" customWidth="true" hidden="false" outlineLevel="0" max="3" min="3" style="0" width="9.14"/>
    <col collapsed="false" customWidth="true" hidden="false" outlineLevel="0" max="4" min="4" style="0" width="12.71"/>
    <col collapsed="false" customWidth="true" hidden="true" outlineLevel="0" max="7" min="7" style="0" width="12.71"/>
    <col collapsed="false" customWidth="true" hidden="true" outlineLevel="0" max="9" min="8" style="0" width="11.57"/>
    <col collapsed="false" customWidth="true" hidden="true" outlineLevel="0" max="10" min="10" style="0" width="24.14"/>
    <col collapsed="false" customWidth="true" hidden="true" outlineLevel="0" max="11" min="11" style="0" width="12"/>
    <col collapsed="false" customWidth="true" hidden="true" outlineLevel="0" max="12" min="12" style="0" width="11.85"/>
    <col collapsed="false" customWidth="true" hidden="true" outlineLevel="0" max="13" min="13" style="0" width="13.29"/>
    <col collapsed="false" customWidth="true" hidden="true" outlineLevel="0" max="14" min="14" style="0" width="10.85"/>
    <col collapsed="false" customWidth="true" hidden="true" outlineLevel="0" max="15" min="15" style="0" width="15.85"/>
    <col collapsed="false" customWidth="true" hidden="true" outlineLevel="0" max="16" min="16" style="0" width="14.42"/>
    <col collapsed="false" customWidth="true" hidden="false" outlineLevel="0" max="17" min="17" style="0" width="20.57"/>
    <col collapsed="false" customWidth="true" hidden="false" outlineLevel="0" max="18" min="18" style="0" width="12"/>
  </cols>
  <sheetData>
    <row r="3" s="72" customFormat="true" ht="23.85" hidden="false" customHeight="false" outlineLevel="0" collapsed="false">
      <c r="B3" s="73" t="s">
        <v>20</v>
      </c>
      <c r="C3" s="21" t="n">
        <v>-23313</v>
      </c>
      <c r="D3" s="73" t="s">
        <v>21</v>
      </c>
      <c r="E3" s="23" t="n">
        <v>-864</v>
      </c>
      <c r="G3" s="74" t="s">
        <v>45</v>
      </c>
      <c r="H3" s="74" t="s">
        <v>148</v>
      </c>
      <c r="I3" s="74" t="s">
        <v>149</v>
      </c>
      <c r="J3" s="75" t="s">
        <v>150</v>
      </c>
      <c r="K3" s="75" t="s">
        <v>151</v>
      </c>
      <c r="L3" s="76" t="s">
        <v>152</v>
      </c>
      <c r="M3" s="76" t="s">
        <v>153</v>
      </c>
      <c r="N3" s="76" t="s">
        <v>154</v>
      </c>
      <c r="O3" s="76" t="s">
        <v>155</v>
      </c>
      <c r="P3" s="76" t="s">
        <v>156</v>
      </c>
      <c r="Q3" s="77" t="s">
        <v>157</v>
      </c>
      <c r="R3" s="78" t="s">
        <v>45</v>
      </c>
    </row>
    <row r="4" customFormat="false" ht="12.75" hidden="false" customHeight="false" outlineLevel="0" collapsed="false">
      <c r="B4" s="79" t="s">
        <v>22</v>
      </c>
      <c r="C4" s="26" t="n">
        <v>39961</v>
      </c>
      <c r="D4" s="80" t="s">
        <v>23</v>
      </c>
      <c r="E4" s="28" t="n">
        <v>1624</v>
      </c>
      <c r="G4" s="81" t="n">
        <f aca="false">Accuracy!F4</f>
        <v>-40</v>
      </c>
      <c r="H4" s="81" t="n">
        <f aca="false">Accuracy!G4</f>
        <v>188500</v>
      </c>
      <c r="I4" s="81" t="n">
        <v>18441</v>
      </c>
      <c r="J4" s="0" t="n">
        <f aca="false">ROUND(32768 * (H4+$C$11)/(H4 +$C$11 + I4),0)</f>
        <v>29848</v>
      </c>
      <c r="K4" s="0" t="n">
        <f aca="false">ROUND(J4 -((32768-J4)*$C$11)/I4,0)</f>
        <v>29848</v>
      </c>
      <c r="L4" s="0" t="n">
        <f aca="false">$C$9-((32768-K4)*($C$9-$C$10)/(32768-$C$10))</f>
        <v>11703</v>
      </c>
      <c r="M4" s="0" t="n">
        <f aca="false">K4*$C$9/L4</f>
        <v>29848</v>
      </c>
      <c r="N4" s="0" t="n">
        <f aca="false">(16384 * M4)/($C$3*(M4/32767)^4  + $C$4*(M4/32767)^3 + $C$5*(M4/32767)^2+ $C$6 * (M4/32767) + $C$7)</f>
        <v>26996.9146458883</v>
      </c>
      <c r="O4" s="0" t="n">
        <f aca="false">$E$3*(N4/32767)^3 + $E$4*(N4/32767)^2 + $E$5*(N4/32767) + $E$6</f>
        <v>2441.01319485112</v>
      </c>
      <c r="P4" s="0" t="n">
        <f aca="false">O4/10-273.15</f>
        <v>-29.0486805148882</v>
      </c>
      <c r="Q4" s="82" t="n">
        <f aca="false">P4-G4</f>
        <v>10.9513194851118</v>
      </c>
      <c r="R4" s="83" t="n">
        <f aca="false">G4</f>
        <v>-40</v>
      </c>
    </row>
    <row r="5" customFormat="false" ht="12.75" hidden="false" customHeight="false" outlineLevel="0" collapsed="false">
      <c r="B5" s="79" t="s">
        <v>24</v>
      </c>
      <c r="C5" s="26" t="n">
        <v>-31531</v>
      </c>
      <c r="D5" s="84" t="s">
        <v>25</v>
      </c>
      <c r="E5" s="28" t="n">
        <v>-4048</v>
      </c>
      <c r="G5" s="81" t="n">
        <f aca="false">Accuracy!F5</f>
        <v>-35</v>
      </c>
      <c r="H5" s="81" t="n">
        <f aca="false">Accuracy!G5</f>
        <v>144100</v>
      </c>
      <c r="I5" s="81" t="n">
        <v>18394</v>
      </c>
      <c r="J5" s="0" t="n">
        <f aca="false">ROUND(32768 * (H5+$C$11)/(H5 +$C$11 + I5),0)</f>
        <v>29059</v>
      </c>
      <c r="K5" s="0" t="n">
        <f aca="false">ROUND(J5 -((32768-J5)*$C$11)/I5,0)</f>
        <v>29059</v>
      </c>
      <c r="L5" s="0" t="n">
        <f aca="false">$C$9-((32768-K5)*($C$9-$C$10)/(32768-$C$10))</f>
        <v>11703</v>
      </c>
      <c r="M5" s="0" t="n">
        <f aca="false">K5*$C$9/L5</f>
        <v>29059</v>
      </c>
      <c r="N5" s="0" t="n">
        <f aca="false">(16384 * M5)/($C$3*(M5/32767)^4  + $C$4*(M5/32767)^3 + $C$5*(M5/32767)^2+ $C$6 * (M5/32767) + $C$7)</f>
        <v>26439.0137110099</v>
      </c>
      <c r="O5" s="0" t="n">
        <f aca="false">$E$3*(N5/32767)^3 + $E$4*(N5/32767)^2 + $E$5*(N5/32767) + $E$6</f>
        <v>2494.18630470203</v>
      </c>
      <c r="P5" s="0" t="n">
        <f aca="false">O5/10-273.15</f>
        <v>-23.7313695297974</v>
      </c>
      <c r="Q5" s="82" t="n">
        <f aca="false">P5-G5</f>
        <v>11.2686304702026</v>
      </c>
      <c r="R5" s="83" t="n">
        <f aca="false">G5</f>
        <v>-35</v>
      </c>
    </row>
    <row r="6" customFormat="false" ht="12.75" hidden="false" customHeight="false" outlineLevel="0" collapsed="false">
      <c r="B6" s="79" t="s">
        <v>26</v>
      </c>
      <c r="C6" s="26" t="n">
        <v>31986</v>
      </c>
      <c r="D6" s="84" t="s">
        <v>27</v>
      </c>
      <c r="E6" s="28" t="n">
        <v>5157</v>
      </c>
      <c r="G6" s="81" t="n">
        <f aca="false">Accuracy!F6</f>
        <v>-30</v>
      </c>
      <c r="H6" s="81" t="n">
        <f aca="false">Accuracy!G6</f>
        <v>111300</v>
      </c>
      <c r="I6" s="81" t="n">
        <v>18348</v>
      </c>
      <c r="J6" s="0" t="n">
        <f aca="false">ROUND(32768 * (H6+$C$11)/(H6 +$C$11 + I6),0)</f>
        <v>28131</v>
      </c>
      <c r="K6" s="0" t="n">
        <f aca="false">ROUND(J6 -((32768-J6)*$C$11)/I6,0)</f>
        <v>28131</v>
      </c>
      <c r="L6" s="0" t="n">
        <f aca="false">$C$9-((32768-K6)*($C$9-$C$10)/(32768-$C$10))</f>
        <v>11703</v>
      </c>
      <c r="M6" s="0" t="n">
        <f aca="false">K6*$C$9/L6</f>
        <v>28131</v>
      </c>
      <c r="N6" s="0" t="n">
        <f aca="false">(16384 * M6)/($C$3*(M6/32767)^4  + $C$4*(M6/32767)^3 + $C$5*(M6/32767)^2+ $C$6 * (M6/32767) + $C$7)</f>
        <v>25849.519634372</v>
      </c>
      <c r="O6" s="0" t="n">
        <f aca="false">$E$3*(N6/32767)^3 + $E$4*(N6/32767)^2 + $E$5*(N6/32767) + $E$6</f>
        <v>2550.07659041467</v>
      </c>
      <c r="P6" s="0" t="n">
        <f aca="false">O6/10-273.15</f>
        <v>-18.1423409585332</v>
      </c>
      <c r="Q6" s="82" t="n">
        <f aca="false">P6-G6</f>
        <v>11.8576590414668</v>
      </c>
      <c r="R6" s="83" t="n">
        <f aca="false">G6</f>
        <v>-30</v>
      </c>
    </row>
    <row r="7" customFormat="false" ht="12.75" hidden="false" customHeight="false" outlineLevel="0" collapsed="false">
      <c r="B7" s="79" t="s">
        <v>29</v>
      </c>
      <c r="C7" s="31" t="n">
        <v>988</v>
      </c>
      <c r="G7" s="81" t="n">
        <f aca="false">Accuracy!F7</f>
        <v>-25</v>
      </c>
      <c r="H7" s="81" t="n">
        <f aca="false">Accuracy!G7</f>
        <v>86430</v>
      </c>
      <c r="I7" s="81" t="n">
        <v>18301</v>
      </c>
      <c r="J7" s="0" t="n">
        <f aca="false">ROUND(32768 * (H7+$C$11)/(H7 +$C$11 + I7),0)</f>
        <v>27042</v>
      </c>
      <c r="K7" s="0" t="n">
        <f aca="false">ROUND(J7 -((32768-J7)*$C$11)/I7,0)</f>
        <v>27042</v>
      </c>
      <c r="L7" s="0" t="n">
        <f aca="false">$C$9-((32768-K7)*($C$9-$C$10)/(32768-$C$10))</f>
        <v>11703</v>
      </c>
      <c r="M7" s="0" t="n">
        <f aca="false">K7*$C$9/L7</f>
        <v>27042</v>
      </c>
      <c r="N7" s="0" t="n">
        <f aca="false">(16384 * M7)/($C$3*(M7/32767)^4  + $C$4*(M7/32767)^3 + $C$5*(M7/32767)^2+ $C$6 * (M7/32767) + $C$7)</f>
        <v>25234.9839747279</v>
      </c>
      <c r="O7" s="0" t="n">
        <f aca="false">$E$3*(N7/32767)^3 + $E$4*(N7/32767)^2 + $E$5*(N7/32767) + $E$6</f>
        <v>2608.05154632305</v>
      </c>
      <c r="P7" s="0" t="n">
        <f aca="false">O7/10-273.15</f>
        <v>-12.3448453676947</v>
      </c>
      <c r="Q7" s="82" t="n">
        <f aca="false">P7-G7</f>
        <v>12.6551546323053</v>
      </c>
      <c r="R7" s="83" t="n">
        <f aca="false">G7</f>
        <v>-25</v>
      </c>
    </row>
    <row r="8" customFormat="false" ht="12.75" hidden="false" customHeight="false" outlineLevel="0" collapsed="false">
      <c r="G8" s="81" t="n">
        <f aca="false">Accuracy!F8</f>
        <v>-20</v>
      </c>
      <c r="H8" s="81" t="n">
        <f aca="false">Accuracy!G8</f>
        <v>67770</v>
      </c>
      <c r="I8" s="81" t="n">
        <v>18255</v>
      </c>
      <c r="J8" s="0" t="n">
        <f aca="false">ROUND(32768 * (H8+$C$11)/(H8 +$C$11 + I8),0)</f>
        <v>25814</v>
      </c>
      <c r="K8" s="0" t="n">
        <f aca="false">ROUND(J8 -((32768-J8)*$C$11)/I8,0)</f>
        <v>25814</v>
      </c>
      <c r="L8" s="0" t="n">
        <f aca="false">$C$9-((32768-K8)*($C$9-$C$10)/(32768-$C$10))</f>
        <v>11703</v>
      </c>
      <c r="M8" s="0" t="n">
        <f aca="false">K8*$C$9/L8</f>
        <v>25814</v>
      </c>
      <c r="N8" s="0" t="n">
        <f aca="false">(16384 * M8)/($C$3*(M8/32767)^4  + $C$4*(M8/32767)^3 + $C$5*(M8/32767)^2+ $C$6 * (M8/32767) + $C$7)</f>
        <v>24623.609993804</v>
      </c>
      <c r="O8" s="0" t="n">
        <f aca="false">$E$3*(N8/32767)^3 + $E$4*(N8/32767)^2 + $E$5*(N8/32767) + $E$6</f>
        <v>2665.46836416373</v>
      </c>
      <c r="P8" s="0" t="n">
        <f aca="false">O8/10-273.15</f>
        <v>-6.60316358362712</v>
      </c>
      <c r="Q8" s="82" t="n">
        <f aca="false">P8-G8</f>
        <v>13.3968364163729</v>
      </c>
      <c r="R8" s="83" t="n">
        <f aca="false">G8</f>
        <v>-20</v>
      </c>
    </row>
    <row r="9" customFormat="false" ht="12.75" hidden="false" customHeight="false" outlineLevel="0" collapsed="false">
      <c r="B9" s="79" t="s">
        <v>158</v>
      </c>
      <c r="C9" s="85" t="n">
        <v>11703</v>
      </c>
      <c r="G9" s="81" t="n">
        <f aca="false">Accuracy!F9</f>
        <v>-15</v>
      </c>
      <c r="H9" s="81" t="n">
        <f aca="false">Accuracy!G9</f>
        <v>53410</v>
      </c>
      <c r="I9" s="81" t="n">
        <v>18213</v>
      </c>
      <c r="J9" s="0" t="n">
        <f aca="false">ROUND(32768 * (H9+$C$11)/(H9 +$C$11 + I9),0)</f>
        <v>24435</v>
      </c>
      <c r="K9" s="0" t="n">
        <f aca="false">ROUND(J9 -((32768-J9)*$C$11)/I9,0)</f>
        <v>24435</v>
      </c>
      <c r="L9" s="0" t="n">
        <f aca="false">$C$9-((32768-K9)*($C$9-$C$10)/(32768-$C$10))</f>
        <v>11703</v>
      </c>
      <c r="M9" s="0" t="n">
        <f aca="false">K9*$C$9/L9</f>
        <v>24435</v>
      </c>
      <c r="N9" s="0" t="n">
        <f aca="false">(16384 * M9)/($C$3*(M9/32767)^4  + $C$4*(M9/32767)^3 + $C$5*(M9/32767)^2+ $C$6 * (M9/32767) + $C$7)</f>
        <v>24018.0890682631</v>
      </c>
      <c r="O9" s="0" t="n">
        <f aca="false">$E$3*(N9/32767)^3 + $E$4*(N9/32767)^2 + $E$5*(N9/32767) + $E$6</f>
        <v>2722.11315113613</v>
      </c>
      <c r="P9" s="0" t="n">
        <f aca="false">O9/10-273.15</f>
        <v>-0.938684886387421</v>
      </c>
      <c r="Q9" s="82" t="n">
        <f aca="false">P9-G9</f>
        <v>14.0613151136126</v>
      </c>
      <c r="R9" s="83" t="n">
        <f aca="false">G9</f>
        <v>-15</v>
      </c>
    </row>
    <row r="10" customFormat="false" ht="12.75" hidden="false" customHeight="false" outlineLevel="0" collapsed="false">
      <c r="B10" s="79" t="s">
        <v>159</v>
      </c>
      <c r="C10" s="85" t="n">
        <v>11703</v>
      </c>
      <c r="G10" s="81" t="n">
        <f aca="false">Accuracy!F10</f>
        <v>-10</v>
      </c>
      <c r="H10" s="81" t="n">
        <f aca="false">Accuracy!G10</f>
        <v>42470</v>
      </c>
      <c r="I10" s="81" t="n">
        <v>18171</v>
      </c>
      <c r="J10" s="0" t="n">
        <f aca="false">ROUND(32768 * (H10+$C$11)/(H10 +$C$11 + I10),0)</f>
        <v>22949</v>
      </c>
      <c r="K10" s="0" t="n">
        <f aca="false">ROUND(J10 -((32768-J10)*$C$11)/I10,0)</f>
        <v>22949</v>
      </c>
      <c r="L10" s="0" t="n">
        <f aca="false">$C$9-((32768-K10)*($C$9-$C$10)/(32768-$C$10))</f>
        <v>11703</v>
      </c>
      <c r="M10" s="0" t="n">
        <f aca="false">K10*$C$9/L10</f>
        <v>22949</v>
      </c>
      <c r="N10" s="0" t="n">
        <f aca="false">(16384 * M10)/($C$3*(M10/32767)^4  + $C$4*(M10/32767)^3 + $C$5*(M10/32767)^2+ $C$6 * (M10/32767) + $C$7)</f>
        <v>23437.4166008768</v>
      </c>
      <c r="O10" s="0" t="n">
        <f aca="false">$E$3*(N10/32767)^3 + $E$4*(N10/32767)^2 + $E$5*(N10/32767) + $E$6</f>
        <v>2776.25600053254</v>
      </c>
      <c r="P10" s="0" t="n">
        <f aca="false">O10/10-273.15</f>
        <v>4.47560005325408</v>
      </c>
      <c r="Q10" s="82" t="n">
        <f aca="false">P10-G10</f>
        <v>14.4756000532541</v>
      </c>
      <c r="R10" s="83" t="n">
        <f aca="false">G10</f>
        <v>-10</v>
      </c>
    </row>
    <row r="11" customFormat="false" ht="12.75" hidden="false" customHeight="false" outlineLevel="0" collapsed="false">
      <c r="B11" s="79" t="s">
        <v>160</v>
      </c>
      <c r="C11" s="85" t="n">
        <v>0</v>
      </c>
      <c r="D11" s="2"/>
      <c r="G11" s="81" t="n">
        <f aca="false">Accuracy!F11</f>
        <v>-5</v>
      </c>
      <c r="H11" s="81" t="n">
        <f aca="false">Accuracy!G11</f>
        <v>33900</v>
      </c>
      <c r="I11" s="81" t="n">
        <v>18129</v>
      </c>
      <c r="J11" s="0" t="n">
        <f aca="false">ROUND(32768 * (H11+$C$11)/(H11 +$C$11 + I11),0)</f>
        <v>21350</v>
      </c>
      <c r="K11" s="0" t="n">
        <f aca="false">ROUND(J11 -((32768-J11)*$C$11)/I11,0)</f>
        <v>21350</v>
      </c>
      <c r="L11" s="0" t="n">
        <f aca="false">$C$9-((32768-K11)*($C$9-$C$10)/(32768-$C$10))</f>
        <v>11703</v>
      </c>
      <c r="M11" s="0" t="n">
        <f aca="false">K11*$C$9/L11</f>
        <v>21350</v>
      </c>
      <c r="N11" s="0" t="n">
        <f aca="false">(16384 * M11)/($C$3*(M11/32767)^4  + $C$4*(M11/32767)^3 + $C$5*(M11/32767)^2+ $C$6 * (M11/32767) + $C$7)</f>
        <v>22870.1512772333</v>
      </c>
      <c r="O11" s="0" t="n">
        <f aca="false">$E$3*(N11/32767)^3 + $E$4*(N11/32767)^2 + $E$5*(N11/32767) + $E$6</f>
        <v>2829.00904073456</v>
      </c>
      <c r="P11" s="0" t="n">
        <f aca="false">O11/10-273.15</f>
        <v>9.7509040734559</v>
      </c>
      <c r="Q11" s="82" t="n">
        <f aca="false">P11-G11</f>
        <v>14.7509040734559</v>
      </c>
      <c r="R11" s="83" t="n">
        <f aca="false">G11</f>
        <v>-5</v>
      </c>
    </row>
    <row r="12" customFormat="false" ht="12.75" hidden="false" customHeight="false" outlineLevel="0" collapsed="false">
      <c r="B12" s="3"/>
      <c r="C12" s="35"/>
      <c r="D12" s="2"/>
      <c r="G12" s="81" t="n">
        <f aca="false">Accuracy!F12</f>
        <v>0</v>
      </c>
      <c r="H12" s="81" t="n">
        <f aca="false">Accuracy!G12</f>
        <v>27280</v>
      </c>
      <c r="I12" s="81" t="n">
        <v>18086</v>
      </c>
      <c r="J12" s="0" t="n">
        <f aca="false">ROUND(32768 * (H12+$C$11)/(H12 +$C$11 + I12),0)</f>
        <v>19704</v>
      </c>
      <c r="K12" s="0" t="n">
        <f aca="false">ROUND(J12 -((32768-J12)*$C$11)/I12,0)</f>
        <v>19704</v>
      </c>
      <c r="L12" s="0" t="n">
        <f aca="false">$C$9-((32768-K12)*($C$9-$C$10)/(32768-$C$10))</f>
        <v>11703</v>
      </c>
      <c r="M12" s="0" t="n">
        <f aca="false">K12*$C$9/L12</f>
        <v>19704</v>
      </c>
      <c r="N12" s="0" t="n">
        <f aca="false">(16384 * M12)/($C$3*(M12/32767)^4  + $C$4*(M12/32767)^3 + $C$5*(M12/32767)^2+ $C$6 * (M12/32767) + $C$7)</f>
        <v>22323.3148019323</v>
      </c>
      <c r="O12" s="0" t="n">
        <f aca="false">$E$3*(N12/32767)^3 + $E$4*(N12/32767)^2 + $E$5*(N12/32767) + $E$6</f>
        <v>2879.75694548543</v>
      </c>
      <c r="P12" s="0" t="n">
        <f aca="false">O12/10-273.15</f>
        <v>14.8256945485425</v>
      </c>
      <c r="Q12" s="82" t="n">
        <f aca="false">P12-G12</f>
        <v>14.8256945485425</v>
      </c>
      <c r="R12" s="83" t="n">
        <f aca="false">G12</f>
        <v>0</v>
      </c>
    </row>
    <row r="13" customFormat="false" ht="12.75" hidden="false" customHeight="false" outlineLevel="0" collapsed="false">
      <c r="G13" s="81" t="n">
        <f aca="false">Accuracy!F13</f>
        <v>5</v>
      </c>
      <c r="H13" s="81" t="n">
        <f aca="false">Accuracy!G13</f>
        <v>22050</v>
      </c>
      <c r="I13" s="81" t="n">
        <v>18047</v>
      </c>
      <c r="J13" s="0" t="n">
        <f aca="false">ROUND(32768 * (H13+$C$11)/(H13 +$C$11 + I13),0)</f>
        <v>18020</v>
      </c>
      <c r="K13" s="0" t="n">
        <f aca="false">ROUND(J13 -((32768-J13)*$C$11)/I13,0)</f>
        <v>18020</v>
      </c>
      <c r="L13" s="0" t="n">
        <f aca="false">$C$9-((32768-K13)*($C$9-$C$10)/(32768-$C$10))</f>
        <v>11703</v>
      </c>
      <c r="M13" s="0" t="n">
        <f aca="false">K13*$C$9/L13</f>
        <v>18020</v>
      </c>
      <c r="N13" s="0" t="n">
        <f aca="false">(16384 * M13)/($C$3*(M13/32767)^4  + $C$4*(M13/32767)^3 + $C$5*(M13/32767)^2+ $C$6 * (M13/32767) + $C$7)</f>
        <v>21778.6526938832</v>
      </c>
      <c r="O13" s="0" t="n">
        <f aca="false">$E$3*(N13/32767)^3 + $E$4*(N13/32767)^2 + $E$5*(N13/32767) + $E$6</f>
        <v>2930.22448135455</v>
      </c>
      <c r="P13" s="0" t="n">
        <f aca="false">O13/10-273.15</f>
        <v>19.8724481354552</v>
      </c>
      <c r="Q13" s="82" t="n">
        <f aca="false">P13-G13</f>
        <v>14.8724481354552</v>
      </c>
      <c r="R13" s="83" t="n">
        <f aca="false">G13</f>
        <v>5</v>
      </c>
    </row>
    <row r="14" customFormat="false" ht="12.75" hidden="false" customHeight="true" outlineLevel="0" collapsed="false">
      <c r="B14" s="86" t="s">
        <v>161</v>
      </c>
      <c r="C14" s="86"/>
      <c r="D14" s="86"/>
      <c r="E14" s="86"/>
      <c r="G14" s="81" t="n">
        <f aca="false">Accuracy!F14</f>
        <v>10</v>
      </c>
      <c r="H14" s="81" t="n">
        <f aca="false">Accuracy!G14</f>
        <v>17960</v>
      </c>
      <c r="I14" s="81" t="n">
        <v>18008</v>
      </c>
      <c r="J14" s="0" t="n">
        <f aca="false">ROUND(32768 * (H14+$C$11)/(H14 +$C$11 + I14),0)</f>
        <v>16362</v>
      </c>
      <c r="K14" s="0" t="n">
        <f aca="false">ROUND(J14 -((32768-J14)*$C$11)/I14,0)</f>
        <v>16362</v>
      </c>
      <c r="L14" s="0" t="n">
        <f aca="false">$C$9-((32768-K14)*($C$9-$C$10)/(32768-$C$10))</f>
        <v>11703</v>
      </c>
      <c r="M14" s="0" t="n">
        <f aca="false">K14*$C$9/L14</f>
        <v>16362</v>
      </c>
      <c r="N14" s="0" t="n">
        <f aca="false">(16384 * M14)/($C$3*(M14/32767)^4  + $C$4*(M14/32767)^3 + $C$5*(M14/32767)^2+ $C$6 * (M14/32767) + $C$7)</f>
        <v>21235.3556411443</v>
      </c>
      <c r="O14" s="0" t="n">
        <f aca="false">$E$3*(N14/32767)^3 + $E$4*(N14/32767)^2 + $E$5*(N14/32767) + $E$6</f>
        <v>2980.51113380825</v>
      </c>
      <c r="P14" s="0" t="n">
        <f aca="false">O14/10-273.15</f>
        <v>24.9011133808253</v>
      </c>
      <c r="Q14" s="82" t="n">
        <f aca="false">P14-G14</f>
        <v>14.9011133808253</v>
      </c>
      <c r="R14" s="83" t="n">
        <f aca="false">G14</f>
        <v>10</v>
      </c>
    </row>
    <row r="15" customFormat="false" ht="12.75" hidden="false" customHeight="false" outlineLevel="0" collapsed="false">
      <c r="B15" s="86"/>
      <c r="C15" s="86"/>
      <c r="D15" s="86"/>
      <c r="E15" s="86"/>
      <c r="G15" s="81" t="n">
        <f aca="false">Accuracy!F15</f>
        <v>15</v>
      </c>
      <c r="H15" s="81" t="n">
        <f aca="false">Accuracy!G15</f>
        <v>14690</v>
      </c>
      <c r="I15" s="81" t="n">
        <v>17969</v>
      </c>
      <c r="J15" s="0" t="n">
        <f aca="false">ROUND(32768 * (H15+$C$11)/(H15 +$C$11 + I15),0)</f>
        <v>14739</v>
      </c>
      <c r="K15" s="0" t="n">
        <f aca="false">ROUND(J15 -((32768-J15)*$C$11)/I15,0)</f>
        <v>14739</v>
      </c>
      <c r="L15" s="0" t="n">
        <f aca="false">$C$9-((32768-K15)*($C$9-$C$10)/(32768-$C$10))</f>
        <v>11703</v>
      </c>
      <c r="M15" s="0" t="n">
        <f aca="false">K15*$C$9/L15</f>
        <v>14739</v>
      </c>
      <c r="N15" s="0" t="n">
        <f aca="false">(16384 * M15)/($C$3*(M15/32767)^4  + $C$4*(M15/32767)^3 + $C$5*(M15/32767)^2+ $C$6 * (M15/32767) + $C$7)</f>
        <v>20677.6345322291</v>
      </c>
      <c r="O15" s="0" t="n">
        <f aca="false">$E$3*(N15/32767)^3 + $E$4*(N15/32767)^2 + $E$5*(N15/32767) + $E$6</f>
        <v>3032.10115595998</v>
      </c>
      <c r="P15" s="0" t="n">
        <f aca="false">O15/10-273.15</f>
        <v>30.0601155959984</v>
      </c>
      <c r="Q15" s="82" t="n">
        <f aca="false">P15-G15</f>
        <v>15.0601155959984</v>
      </c>
      <c r="R15" s="83" t="n">
        <f aca="false">G15</f>
        <v>15</v>
      </c>
    </row>
    <row r="16" customFormat="false" ht="12.75" hidden="false" customHeight="false" outlineLevel="0" collapsed="false">
      <c r="G16" s="81" t="n">
        <f aca="false">Accuracy!F16</f>
        <v>20</v>
      </c>
      <c r="H16" s="81" t="n">
        <f aca="false">Accuracy!G16</f>
        <v>12090</v>
      </c>
      <c r="I16" s="81" t="n">
        <v>17930</v>
      </c>
      <c r="J16" s="0" t="n">
        <f aca="false">ROUND(32768 * (H16+$C$11)/(H16 +$C$11 + I16),0)</f>
        <v>13197</v>
      </c>
      <c r="K16" s="0" t="n">
        <f aca="false">ROUND(J16 -((32768-J16)*$C$11)/I16,0)</f>
        <v>13197</v>
      </c>
      <c r="L16" s="0" t="n">
        <f aca="false">$C$9-((32768-K16)*($C$9-$C$10)/(32768-$C$10))</f>
        <v>11703</v>
      </c>
      <c r="M16" s="0" t="n">
        <f aca="false">K16*$C$9/L16</f>
        <v>13197</v>
      </c>
      <c r="N16" s="0" t="n">
        <f aca="false">(16384 * M16)/($C$3*(M16/32767)^4  + $C$4*(M16/32767)^3 + $C$5*(M16/32767)^2+ $C$6 * (M16/32767) + $C$7)</f>
        <v>20107.7115712645</v>
      </c>
      <c r="O16" s="0" t="n">
        <f aca="false">$E$3*(N16/32767)^3 + $E$4*(N16/32767)^2 + $E$5*(N16/32767) + $E$6</f>
        <v>3084.81306677816</v>
      </c>
      <c r="P16" s="0" t="n">
        <f aca="false">O16/10-273.15</f>
        <v>35.3313066778162</v>
      </c>
      <c r="Q16" s="82" t="n">
        <f aca="false">P16-G16</f>
        <v>15.3313066778162</v>
      </c>
      <c r="R16" s="83" t="n">
        <f aca="false">G16</f>
        <v>20</v>
      </c>
    </row>
    <row r="17" s="87" customFormat="true" ht="12.75" hidden="false" customHeight="false" outlineLevel="0" collapsed="false">
      <c r="G17" s="81" t="n">
        <f aca="false">Accuracy!F17</f>
        <v>25</v>
      </c>
      <c r="H17" s="81" t="n">
        <f aca="false">Accuracy!G17</f>
        <v>10000</v>
      </c>
      <c r="I17" s="81" t="n">
        <v>17891</v>
      </c>
      <c r="J17" s="87" t="n">
        <f aca="false">ROUND(32768 * (H17+$C$11)/(H17 +$C$11 + I17),0)</f>
        <v>11749</v>
      </c>
      <c r="K17" s="87" t="n">
        <f aca="false">ROUND(J17 -((32768-J17)*$C$11)/I17,0)</f>
        <v>11749</v>
      </c>
      <c r="L17" s="87" t="n">
        <f aca="false">$C$9-((32768-K17)*($C$9-$C$10)/(32768-$C$10))</f>
        <v>11703</v>
      </c>
      <c r="M17" s="87" t="n">
        <f aca="false">K17*$C$9/L17</f>
        <v>11749</v>
      </c>
      <c r="N17" s="87" t="n">
        <f aca="false">(16384 * M17)/($C$3*(M17/32767)^4  + $C$4*(M17/32767)^3 + $C$5*(M17/32767)^2+ $C$6 * (M17/32767) + $C$7)</f>
        <v>19522.9922077298</v>
      </c>
      <c r="O17" s="87" t="n">
        <f aca="false">$E$3*(N17/32767)^3 + $E$4*(N17/32767)^2 + $E$5*(N17/32767) + $E$6</f>
        <v>3138.91473774502</v>
      </c>
      <c r="P17" s="87" t="n">
        <f aca="false">O17/10-273.15</f>
        <v>40.7414737745023</v>
      </c>
      <c r="Q17" s="82" t="n">
        <f aca="false">P17-G17</f>
        <v>15.7414737745023</v>
      </c>
      <c r="R17" s="83" t="n">
        <f aca="false">G17</f>
        <v>25</v>
      </c>
    </row>
    <row r="18" customFormat="false" ht="12.75" hidden="false" customHeight="false" outlineLevel="0" collapsed="false">
      <c r="G18" s="81" t="n">
        <f aca="false">Accuracy!F18</f>
        <v>30</v>
      </c>
      <c r="H18" s="81" t="n">
        <f aca="false">Accuracy!G18</f>
        <v>8313</v>
      </c>
      <c r="I18" s="81" t="n">
        <v>17856</v>
      </c>
      <c r="J18" s="0" t="n">
        <f aca="false">ROUND(32768 * (H18+$C$11)/(H18 +$C$11 + I18),0)</f>
        <v>10409</v>
      </c>
      <c r="K18" s="0" t="n">
        <f aca="false">ROUND(J18 -((32768-J18)*$C$11)/I18,0)</f>
        <v>10409</v>
      </c>
      <c r="L18" s="0" t="n">
        <f aca="false">$C$9-((32768-K18)*($C$9-$C$10)/(32768-$C$10))</f>
        <v>11703</v>
      </c>
      <c r="M18" s="0" t="n">
        <f aca="false">K18*$C$9/L18</f>
        <v>10409</v>
      </c>
      <c r="N18" s="0" t="n">
        <f aca="false">(16384 * M18)/($C$3*(M18/32767)^4  + $C$4*(M18/32767)^3 + $C$5*(M18/32767)^2+ $C$6 * (M18/32767) + $C$7)</f>
        <v>18926.628896537</v>
      </c>
      <c r="O18" s="0" t="n">
        <f aca="false">$E$3*(N18/32767)^3 + $E$4*(N18/32767)^2 + $E$5*(N18/32767) + $E$6</f>
        <v>3194.14623108007</v>
      </c>
      <c r="P18" s="0" t="n">
        <f aca="false">O18/10-273.15</f>
        <v>46.2646231080074</v>
      </c>
      <c r="Q18" s="82" t="n">
        <f aca="false">P18-G18</f>
        <v>16.2646231080074</v>
      </c>
      <c r="R18" s="83" t="n">
        <f aca="false">G18</f>
        <v>30</v>
      </c>
    </row>
    <row r="19" customFormat="false" ht="12.75" hidden="false" customHeight="false" outlineLevel="0" collapsed="false">
      <c r="G19" s="81" t="n">
        <f aca="false">Accuracy!F19</f>
        <v>35</v>
      </c>
      <c r="H19" s="81" t="n">
        <f aca="false">Accuracy!G19</f>
        <v>6940</v>
      </c>
      <c r="I19" s="81" t="n">
        <v>17822</v>
      </c>
      <c r="J19" s="0" t="n">
        <f aca="false">ROUND(32768 * (H19+$C$11)/(H19 +$C$11 + I19),0)</f>
        <v>9184</v>
      </c>
      <c r="K19" s="0" t="n">
        <f aca="false">ROUND(J19 -((32768-J19)*$C$11)/I19,0)</f>
        <v>9184</v>
      </c>
      <c r="L19" s="0" t="n">
        <f aca="false">$C$9-((32768-K19)*($C$9-$C$10)/(32768-$C$10))</f>
        <v>11703</v>
      </c>
      <c r="M19" s="0" t="n">
        <f aca="false">K19*$C$9/L19</f>
        <v>9184</v>
      </c>
      <c r="N19" s="0" t="n">
        <f aca="false">(16384 * M19)/($C$3*(M19/32767)^4  + $C$4*(M19/32767)^3 + $C$5*(M19/32767)^2+ $C$6 * (M19/32767) + $C$7)</f>
        <v>18323.0608881844</v>
      </c>
      <c r="O19" s="0" t="n">
        <f aca="false">$E$3*(N19/32767)^3 + $E$4*(N19/32767)^2 + $E$5*(N19/32767) + $E$6</f>
        <v>3250.13065831925</v>
      </c>
      <c r="P19" s="0" t="n">
        <f aca="false">O19/10-273.15</f>
        <v>51.8630658319248</v>
      </c>
      <c r="Q19" s="82" t="n">
        <f aca="false">P19-G19</f>
        <v>16.8630658319248</v>
      </c>
      <c r="R19" s="83" t="n">
        <f aca="false">G19</f>
        <v>35</v>
      </c>
    </row>
    <row r="20" customFormat="false" ht="12.75" hidden="false" customHeight="false" outlineLevel="0" collapsed="false">
      <c r="G20" s="81" t="n">
        <f aca="false">Accuracy!F20</f>
        <v>40</v>
      </c>
      <c r="H20" s="81" t="n">
        <f aca="false">Accuracy!G20</f>
        <v>5827</v>
      </c>
      <c r="I20" s="81" t="n">
        <v>17787</v>
      </c>
      <c r="J20" s="0" t="n">
        <f aca="false">ROUND(32768 * (H20+$C$11)/(H20 +$C$11 + I20),0)</f>
        <v>8086</v>
      </c>
      <c r="K20" s="0" t="n">
        <f aca="false">ROUND(J20 -((32768-J20)*$C$11)/I20,0)</f>
        <v>8086</v>
      </c>
      <c r="L20" s="0" t="n">
        <f aca="false">$C$9-((32768-K20)*($C$9-$C$10)/(32768-$C$10))</f>
        <v>11703</v>
      </c>
      <c r="M20" s="0" t="n">
        <f aca="false">K20*$C$9/L20</f>
        <v>8086</v>
      </c>
      <c r="N20" s="0" t="n">
        <f aca="false">(16384 * M20)/($C$3*(M20/32767)^4  + $C$4*(M20/32767)^3 + $C$5*(M20/32767)^2+ $C$6 * (M20/32767) + $C$7)</f>
        <v>17722.7375092299</v>
      </c>
      <c r="O20" s="0" t="n">
        <f aca="false">$E$3*(N20/32767)^3 + $E$4*(N20/32767)^2 + $E$5*(N20/32767) + $E$6</f>
        <v>3305.93158021387</v>
      </c>
      <c r="P20" s="0" t="n">
        <f aca="false">O20/10-273.15</f>
        <v>57.4431580213874</v>
      </c>
      <c r="Q20" s="82" t="n">
        <f aca="false">P20-G20</f>
        <v>17.4431580213874</v>
      </c>
      <c r="R20" s="83" t="n">
        <f aca="false">G20</f>
        <v>40</v>
      </c>
    </row>
    <row r="21" customFormat="false" ht="12.75" hidden="false" customHeight="false" outlineLevel="0" collapsed="false">
      <c r="G21" s="81" t="n">
        <f aca="false">Accuracy!F21</f>
        <v>45</v>
      </c>
      <c r="H21" s="81" t="n">
        <f aca="false">Accuracy!G21</f>
        <v>4911</v>
      </c>
      <c r="I21" s="81" t="n">
        <v>17753</v>
      </c>
      <c r="J21" s="0" t="n">
        <f aca="false">ROUND(32768 * (H21+$C$11)/(H21 +$C$11 + I21),0)</f>
        <v>7100</v>
      </c>
      <c r="K21" s="0" t="n">
        <f aca="false">ROUND(J21 -((32768-J21)*$C$11)/I21,0)</f>
        <v>7100</v>
      </c>
      <c r="L21" s="0" t="n">
        <f aca="false">$C$9-((32768-K21)*($C$9-$C$10)/(32768-$C$10))</f>
        <v>11703</v>
      </c>
      <c r="M21" s="0" t="n">
        <f aca="false">K21*$C$9/L21</f>
        <v>7100</v>
      </c>
      <c r="N21" s="0" t="n">
        <f aca="false">(16384 * M21)/($C$3*(M21/32767)^4  + $C$4*(M21/32767)^3 + $C$5*(M21/32767)^2+ $C$6 * (M21/32767) + $C$7)</f>
        <v>17123.1599307067</v>
      </c>
      <c r="O21" s="0" t="n">
        <f aca="false">$E$3*(N21/32767)^3 + $E$4*(N21/32767)^2 + $E$5*(N21/32767) + $E$6</f>
        <v>3361.81196117091</v>
      </c>
      <c r="P21" s="0" t="n">
        <f aca="false">O21/10-273.15</f>
        <v>63.031196117091</v>
      </c>
      <c r="Q21" s="82" t="n">
        <f aca="false">P21-G21</f>
        <v>18.031196117091</v>
      </c>
      <c r="R21" s="83" t="n">
        <f aca="false">G21</f>
        <v>45</v>
      </c>
    </row>
    <row r="22" customFormat="false" ht="12.75" hidden="false" customHeight="false" outlineLevel="0" collapsed="false">
      <c r="G22" s="81" t="n">
        <f aca="false">Accuracy!F22</f>
        <v>50</v>
      </c>
      <c r="H22" s="81" t="n">
        <f aca="false">Accuracy!G22</f>
        <v>4160</v>
      </c>
      <c r="I22" s="81" t="n">
        <v>17718</v>
      </c>
      <c r="J22" s="0" t="n">
        <f aca="false">ROUND(32768 * (H22+$C$11)/(H22 +$C$11 + I22),0)</f>
        <v>6231</v>
      </c>
      <c r="K22" s="0" t="n">
        <f aca="false">ROUND(J22 -((32768-J22)*$C$11)/I22,0)</f>
        <v>6231</v>
      </c>
      <c r="L22" s="0" t="n">
        <f aca="false">$C$9-((32768-K22)*($C$9-$C$10)/(32768-$C$10))</f>
        <v>11703</v>
      </c>
      <c r="M22" s="0" t="n">
        <f aca="false">K22*$C$9/L22</f>
        <v>6231</v>
      </c>
      <c r="N22" s="0" t="n">
        <f aca="false">(16384 * M22)/($C$3*(M22/32767)^4  + $C$4*(M22/32767)^3 + $C$5*(M22/32767)^2+ $C$6 * (M22/32767) + $C$7)</f>
        <v>16533.6765713467</v>
      </c>
      <c r="O22" s="0" t="n">
        <f aca="false">$E$3*(N22/32767)^3 + $E$4*(N22/32767)^2 + $E$5*(N22/32767) + $E$6</f>
        <v>3416.92732335819</v>
      </c>
      <c r="P22" s="0" t="n">
        <f aca="false">O22/10-273.15</f>
        <v>68.5427323358194</v>
      </c>
      <c r="Q22" s="82" t="n">
        <f aca="false">P22-G22</f>
        <v>18.5427323358194</v>
      </c>
      <c r="R22" s="83" t="n">
        <f aca="false">G22</f>
        <v>50</v>
      </c>
    </row>
    <row r="23" customFormat="false" ht="12.75" hidden="false" customHeight="false" outlineLevel="0" collapsed="false">
      <c r="G23" s="81" t="n">
        <f aca="false">Accuracy!F23</f>
        <v>55</v>
      </c>
      <c r="H23" s="81" t="n">
        <f aca="false">Accuracy!G23</f>
        <v>3536</v>
      </c>
      <c r="I23" s="81" t="n">
        <v>17684</v>
      </c>
      <c r="J23" s="0" t="n">
        <f aca="false">ROUND(32768 * (H23+$C$11)/(H23 +$C$11 + I23),0)</f>
        <v>5460</v>
      </c>
      <c r="K23" s="0" t="n">
        <f aca="false">ROUND(J23 -((32768-J23)*$C$11)/I23,0)</f>
        <v>5460</v>
      </c>
      <c r="L23" s="0" t="n">
        <f aca="false">$C$9-((32768-K23)*($C$9-$C$10)/(32768-$C$10))</f>
        <v>11703</v>
      </c>
      <c r="M23" s="0" t="n">
        <f aca="false">K23*$C$9/L23</f>
        <v>5460</v>
      </c>
      <c r="N23" s="0" t="n">
        <f aca="false">(16384 * M23)/($C$3*(M23/32767)^4  + $C$4*(M23/32767)^3 + $C$5*(M23/32767)^2+ $C$6 * (M23/32767) + $C$7)</f>
        <v>15947.9513549495</v>
      </c>
      <c r="O23" s="0" t="n">
        <f aca="false">$E$3*(N23/32767)^3 + $E$4*(N23/32767)^2 + $E$5*(N23/32767) + $E$6</f>
        <v>3471.8939134929</v>
      </c>
      <c r="P23" s="0" t="n">
        <f aca="false">O23/10-273.15</f>
        <v>74.0393913492898</v>
      </c>
      <c r="Q23" s="82" t="n">
        <f aca="false">P23-G23</f>
        <v>19.0393913492898</v>
      </c>
      <c r="R23" s="83" t="n">
        <f aca="false">G23</f>
        <v>55</v>
      </c>
    </row>
    <row r="24" customFormat="false" ht="12.75" hidden="false" customHeight="false" outlineLevel="0" collapsed="false">
      <c r="G24" s="81" t="n">
        <f aca="false">Accuracy!F24</f>
        <v>60</v>
      </c>
      <c r="H24" s="81" t="n">
        <f aca="false">Accuracy!G24</f>
        <v>3020</v>
      </c>
      <c r="I24" s="81" t="n">
        <v>17649</v>
      </c>
      <c r="J24" s="0" t="n">
        <f aca="false">ROUND(32768 * (H24+$C$11)/(H24 +$C$11 + I24),0)</f>
        <v>4788</v>
      </c>
      <c r="K24" s="0" t="n">
        <f aca="false">ROUND(J24 -((32768-J24)*$C$11)/I24,0)</f>
        <v>4788</v>
      </c>
      <c r="L24" s="0" t="n">
        <f aca="false">$C$9-((32768-K24)*($C$9-$C$10)/(32768-$C$10))</f>
        <v>11703</v>
      </c>
      <c r="M24" s="0" t="n">
        <f aca="false">K24*$C$9/L24</f>
        <v>4788</v>
      </c>
      <c r="N24" s="0" t="n">
        <f aca="false">(16384 * M24)/($C$3*(M24/32767)^4  + $C$4*(M24/32767)^3 + $C$5*(M24/32767)^2+ $C$6 * (M24/32767) + $C$7)</f>
        <v>15373.5962548834</v>
      </c>
      <c r="O24" s="0" t="n">
        <f aca="false">$E$3*(N24/32767)^3 + $E$4*(N24/32767)^2 + $E$5*(N24/32767) + $E$6</f>
        <v>3526.01823452539</v>
      </c>
      <c r="P24" s="0" t="n">
        <f aca="false">O24/10-273.15</f>
        <v>79.4518234525391</v>
      </c>
      <c r="Q24" s="82" t="n">
        <f aca="false">P24-G24</f>
        <v>19.4518234525391</v>
      </c>
      <c r="R24" s="83" t="n">
        <f aca="false">G24</f>
        <v>60</v>
      </c>
    </row>
    <row r="25" customFormat="false" ht="12.75" hidden="false" customHeight="false" outlineLevel="0" collapsed="false">
      <c r="G25" s="81" t="n">
        <f aca="false">Accuracy!F25</f>
        <v>65</v>
      </c>
      <c r="H25" s="81" t="n">
        <f aca="false">Accuracy!G25</f>
        <v>2588</v>
      </c>
      <c r="I25" s="81" t="n">
        <v>17623</v>
      </c>
      <c r="J25" s="0" t="n">
        <f aca="false">ROUND(32768 * (H25+$C$11)/(H25 +$C$11 + I25),0)</f>
        <v>4196</v>
      </c>
      <c r="K25" s="0" t="n">
        <f aca="false">ROUND(J25 -((32768-J25)*$C$11)/I25,0)</f>
        <v>4196</v>
      </c>
      <c r="L25" s="0" t="n">
        <f aca="false">$C$9-((32768-K25)*($C$9-$C$10)/(32768-$C$10))</f>
        <v>11703</v>
      </c>
      <c r="M25" s="0" t="n">
        <f aca="false">K25*$C$9/L25</f>
        <v>4196</v>
      </c>
      <c r="N25" s="0" t="n">
        <f aca="false">(16384 * M25)/($C$3*(M25/32767)^4  + $C$4*(M25/32767)^3 + $C$5*(M25/32767)^2+ $C$6 * (M25/32767) + $C$7)</f>
        <v>14801.6106735582</v>
      </c>
      <c r="O25" s="0" t="n">
        <f aca="false">$E$3*(N25/32767)^3 + $E$4*(N25/32767)^2 + $E$5*(N25/32767) + $E$6</f>
        <v>3580.16832133945</v>
      </c>
      <c r="P25" s="0" t="n">
        <f aca="false">O25/10-273.15</f>
        <v>84.8668321339449</v>
      </c>
      <c r="Q25" s="82" t="n">
        <f aca="false">P25-G25</f>
        <v>19.8668321339449</v>
      </c>
      <c r="R25" s="83" t="n">
        <f aca="false">G25</f>
        <v>65</v>
      </c>
    </row>
    <row r="26" customFormat="false" ht="12.75" hidden="false" customHeight="false" outlineLevel="0" collapsed="false">
      <c r="G26" s="81" t="n">
        <f aca="false">Accuracy!F26</f>
        <v>70</v>
      </c>
      <c r="H26" s="81" t="n">
        <f aca="false">Accuracy!G26</f>
        <v>2228</v>
      </c>
      <c r="I26" s="81" t="n">
        <v>17597</v>
      </c>
      <c r="J26" s="0" t="n">
        <f aca="false">ROUND(32768 * (H26+$C$11)/(H26 +$C$11 + I26),0)</f>
        <v>3683</v>
      </c>
      <c r="K26" s="0" t="n">
        <f aca="false">ROUND(J26 -((32768-J26)*$C$11)/I26,0)</f>
        <v>3683</v>
      </c>
      <c r="L26" s="0" t="n">
        <f aca="false">$C$9-((32768-K26)*($C$9-$C$10)/(32768-$C$10))</f>
        <v>11703</v>
      </c>
      <c r="M26" s="0" t="n">
        <f aca="false">K26*$C$9/L26</f>
        <v>3683</v>
      </c>
      <c r="N26" s="0" t="n">
        <f aca="false">(16384 * M26)/($C$3*(M26/32767)^4  + $C$4*(M26/32767)^3 + $C$5*(M26/32767)^2+ $C$6 * (M26/32767) + $C$7)</f>
        <v>14238.7617053785</v>
      </c>
      <c r="O26" s="0" t="n">
        <f aca="false">$E$3*(N26/32767)^3 + $E$4*(N26/32767)^2 + $E$5*(N26/32767) + $E$6</f>
        <v>3633.72287194311</v>
      </c>
      <c r="P26" s="0" t="n">
        <f aca="false">O26/10-273.15</f>
        <v>90.2222871943111</v>
      </c>
      <c r="Q26" s="82" t="n">
        <f aca="false">P26-G26</f>
        <v>20.2222871943111</v>
      </c>
      <c r="R26" s="83" t="n">
        <f aca="false">G26</f>
        <v>70</v>
      </c>
    </row>
    <row r="27" customFormat="false" ht="12.75" hidden="false" customHeight="false" outlineLevel="0" collapsed="false">
      <c r="G27" s="81" t="n">
        <f aca="false">Accuracy!F27</f>
        <v>75</v>
      </c>
      <c r="H27" s="81" t="n">
        <f aca="false">Accuracy!G27</f>
        <v>1924</v>
      </c>
      <c r="I27" s="81" t="n">
        <v>17570</v>
      </c>
      <c r="J27" s="0" t="n">
        <f aca="false">ROUND(32768 * (H27+$C$11)/(H27 +$C$11 + I27),0)</f>
        <v>3234</v>
      </c>
      <c r="K27" s="0" t="n">
        <f aca="false">ROUND(J27 -((32768-J27)*$C$11)/I27,0)</f>
        <v>3234</v>
      </c>
      <c r="L27" s="0" t="n">
        <f aca="false">$C$9-((32768-K27)*($C$9-$C$10)/(32768-$C$10))</f>
        <v>11703</v>
      </c>
      <c r="M27" s="0" t="n">
        <f aca="false">K27*$C$9/L27</f>
        <v>3234</v>
      </c>
      <c r="N27" s="0" t="n">
        <f aca="false">(16384 * M27)/($C$3*(M27/32767)^4  + $C$4*(M27/32767)^3 + $C$5*(M27/32767)^2+ $C$6 * (M27/32767) + $C$7)</f>
        <v>13677.373188653</v>
      </c>
      <c r="O27" s="0" t="n">
        <f aca="false">$E$3*(N27/32767)^3 + $E$4*(N27/32767)^2 + $E$5*(N27/32767) + $E$6</f>
        <v>3687.4309748605</v>
      </c>
      <c r="P27" s="0" t="n">
        <f aca="false">O27/10-273.15</f>
        <v>95.59309748605</v>
      </c>
      <c r="Q27" s="82" t="n">
        <f aca="false">P27-G27</f>
        <v>20.59309748605</v>
      </c>
      <c r="R27" s="83" t="n">
        <f aca="false">G27</f>
        <v>75</v>
      </c>
    </row>
    <row r="28" customFormat="false" ht="12.75" hidden="false" customHeight="false" outlineLevel="0" collapsed="false">
      <c r="G28" s="81" t="n">
        <f aca="false">Accuracy!F28</f>
        <v>80</v>
      </c>
      <c r="H28" s="81" t="n">
        <f aca="false">Accuracy!G28</f>
        <v>1668</v>
      </c>
      <c r="I28" s="81" t="n">
        <v>17544</v>
      </c>
      <c r="J28" s="0" t="n">
        <f aca="false">ROUND(32768 * (H28+$C$11)/(H28 +$C$11 + I28),0)</f>
        <v>2845</v>
      </c>
      <c r="K28" s="0" t="n">
        <f aca="false">ROUND(J28 -((32768-J28)*$C$11)/I28,0)</f>
        <v>2845</v>
      </c>
      <c r="L28" s="0" t="n">
        <f aca="false">$C$9-((32768-K28)*($C$9-$C$10)/(32768-$C$10))</f>
        <v>11703</v>
      </c>
      <c r="M28" s="0" t="n">
        <f aca="false">K28*$C$9/L28</f>
        <v>2845</v>
      </c>
      <c r="N28" s="0" t="n">
        <f aca="false">(16384 * M28)/($C$3*(M28/32767)^4  + $C$4*(M28/32767)^3 + $C$5*(M28/32767)^2+ $C$6 * (M28/32767) + $C$7)</f>
        <v>13121.6973965864</v>
      </c>
      <c r="O28" s="0" t="n">
        <f aca="false">$E$3*(N28/32767)^3 + $E$4*(N28/32767)^2 + $E$5*(N28/32767) + $E$6</f>
        <v>3740.90583850897</v>
      </c>
      <c r="P28" s="0" t="n">
        <f aca="false">O28/10-273.15</f>
        <v>100.940583850897</v>
      </c>
      <c r="Q28" s="82" t="n">
        <f aca="false">P28-G28</f>
        <v>20.9405838508972</v>
      </c>
      <c r="R28" s="83" t="n">
        <f aca="false">G28</f>
        <v>80</v>
      </c>
    </row>
    <row r="29" customFormat="false" ht="12.75" hidden="false" customHeight="false" outlineLevel="0" collapsed="false">
      <c r="G29" s="81" t="n">
        <f aca="false">Accuracy!F29</f>
        <v>85</v>
      </c>
      <c r="H29" s="81" t="n">
        <f aca="false">Accuracy!G29</f>
        <v>1451</v>
      </c>
      <c r="I29" s="81" t="n">
        <v>17518</v>
      </c>
      <c r="J29" s="0" t="n">
        <f aca="false">ROUND(32768 * (H29+$C$11)/(H29 +$C$11 + I29),0)</f>
        <v>2507</v>
      </c>
      <c r="K29" s="0" t="n">
        <f aca="false">ROUND(J29 -((32768-J29)*$C$11)/I29,0)</f>
        <v>2507</v>
      </c>
      <c r="L29" s="0" t="n">
        <f aca="false">$C$9-((32768-K29)*($C$9-$C$10)/(32768-$C$10))</f>
        <v>11703</v>
      </c>
      <c r="M29" s="0" t="n">
        <f aca="false">K29*$C$9/L29</f>
        <v>2507</v>
      </c>
      <c r="N29" s="0" t="n">
        <f aca="false">(16384 * M29)/($C$3*(M29/32767)^4  + $C$4*(M29/32767)^3 + $C$5*(M29/32767)^2+ $C$6 * (M29/32767) + $C$7)</f>
        <v>12569.6416639599</v>
      </c>
      <c r="O29" s="0" t="n">
        <f aca="false">$E$3*(N29/32767)^3 + $E$4*(N29/32767)^2 + $E$5*(N29/32767) + $E$6</f>
        <v>3794.366053224</v>
      </c>
      <c r="P29" s="0" t="n">
        <f aca="false">O29/10-273.15</f>
        <v>106.2866053224</v>
      </c>
      <c r="Q29" s="82" t="n">
        <f aca="false">P29-G29</f>
        <v>21.2866053224002</v>
      </c>
      <c r="R29" s="83" t="n">
        <f aca="false">G29</f>
        <v>85</v>
      </c>
    </row>
    <row r="30" customFormat="false" ht="12.75" hidden="false" customHeight="false" outlineLevel="0" collapsed="false">
      <c r="G30" s="81" t="n">
        <f aca="false">Accuracy!F30</f>
        <v>90</v>
      </c>
      <c r="H30" s="81" t="n">
        <f aca="false">Accuracy!G30</f>
        <v>1266</v>
      </c>
      <c r="I30" s="81" t="n">
        <v>17498</v>
      </c>
      <c r="J30" s="0" t="n">
        <f aca="false">ROUND(32768 * (H30+$C$11)/(H30 +$C$11 + I30),0)</f>
        <v>2211</v>
      </c>
      <c r="K30" s="0" t="n">
        <f aca="false">ROUND(J30 -((32768-J30)*$C$11)/I30,0)</f>
        <v>2211</v>
      </c>
      <c r="L30" s="0" t="n">
        <f aca="false">$C$9-((32768-K30)*($C$9-$C$10)/(32768-$C$10))</f>
        <v>11703</v>
      </c>
      <c r="M30" s="0" t="n">
        <f aca="false">K30*$C$9/L30</f>
        <v>2211</v>
      </c>
      <c r="N30" s="0" t="n">
        <f aca="false">(16384 * M30)/($C$3*(M30/32767)^4  + $C$4*(M30/32767)^3 + $C$5*(M30/32767)^2+ $C$6 * (M30/32767) + $C$7)</f>
        <v>12016.7992282812</v>
      </c>
      <c r="O30" s="0" t="n">
        <f aca="false">$E$3*(N30/32767)^3 + $E$4*(N30/32767)^2 + $E$5*(N30/32767) + $E$6</f>
        <v>3848.26070606987</v>
      </c>
      <c r="P30" s="0" t="n">
        <f aca="false">O30/10-273.15</f>
        <v>111.676070606987</v>
      </c>
      <c r="Q30" s="82" t="n">
        <f aca="false">P30-G30</f>
        <v>21.6760706069869</v>
      </c>
      <c r="R30" s="83" t="n">
        <f aca="false">G30</f>
        <v>90</v>
      </c>
    </row>
    <row r="31" customFormat="false" ht="12.75" hidden="false" customHeight="false" outlineLevel="0" collapsed="false">
      <c r="G31" s="81" t="n">
        <f aca="false">Accuracy!F31</f>
        <v>95</v>
      </c>
      <c r="H31" s="81" t="n">
        <f aca="false">Accuracy!G31</f>
        <v>1108</v>
      </c>
      <c r="I31" s="81" t="n">
        <v>17478</v>
      </c>
      <c r="J31" s="0" t="n">
        <f aca="false">ROUND(32768 * (H31+$C$11)/(H31 +$C$11 + I31),0)</f>
        <v>1953</v>
      </c>
      <c r="K31" s="0" t="n">
        <f aca="false">ROUND(J31 -((32768-J31)*$C$11)/I31,0)</f>
        <v>1953</v>
      </c>
      <c r="L31" s="0" t="n">
        <f aca="false">$C$9-((32768-K31)*($C$9-$C$10)/(32768-$C$10))</f>
        <v>11703</v>
      </c>
      <c r="M31" s="0" t="n">
        <f aca="false">K31*$C$9/L31</f>
        <v>1953</v>
      </c>
      <c r="N31" s="0" t="n">
        <f aca="false">(16384 * M31)/($C$3*(M31/32767)^4  + $C$4*(M31/32767)^3 + $C$5*(M31/32767)^2+ $C$6 * (M31/32767) + $C$7)</f>
        <v>11466.3167551611</v>
      </c>
      <c r="O31" s="0" t="n">
        <f aca="false">$E$3*(N31/32767)^3 + $E$4*(N31/32767)^2 + $E$5*(N31/32767) + $E$6</f>
        <v>3902.30620385859</v>
      </c>
      <c r="P31" s="0" t="n">
        <f aca="false">O31/10-273.15</f>
        <v>117.080620385859</v>
      </c>
      <c r="Q31" s="82" t="n">
        <f aca="false">P31-G31</f>
        <v>22.0806203858588</v>
      </c>
      <c r="R31" s="83" t="n">
        <f aca="false">G31</f>
        <v>95</v>
      </c>
    </row>
    <row r="32" customFormat="false" ht="12.75" hidden="false" customHeight="false" outlineLevel="0" collapsed="false">
      <c r="G32" s="81" t="n">
        <f aca="false">Accuracy!F32</f>
        <v>100</v>
      </c>
      <c r="H32" s="81" t="n">
        <f aca="false">Accuracy!G32</f>
        <v>973.1</v>
      </c>
      <c r="I32" s="81" t="n">
        <v>17457</v>
      </c>
      <c r="J32" s="0" t="n">
        <f aca="false">ROUND(32768 * (H32+$C$11)/(H32 +$C$11 + I32),0)</f>
        <v>1730</v>
      </c>
      <c r="K32" s="0" t="n">
        <f aca="false">ROUND(J32 -((32768-J32)*$C$11)/I32,0)</f>
        <v>1730</v>
      </c>
      <c r="L32" s="0" t="n">
        <f aca="false">$C$9-((32768-K32)*($C$9-$C$10)/(32768-$C$10))</f>
        <v>11703</v>
      </c>
      <c r="M32" s="0" t="n">
        <f aca="false">K32*$C$9/L32</f>
        <v>1730</v>
      </c>
      <c r="N32" s="0" t="n">
        <f aca="false">(16384 * M32)/($C$3*(M32/32767)^4  + $C$4*(M32/32767)^3 + $C$5*(M32/32767)^2+ $C$6 * (M32/32767) + $C$7)</f>
        <v>10924.4680726421</v>
      </c>
      <c r="O32" s="0" t="n">
        <f aca="false">$E$3*(N32/32767)^3 + $E$4*(N32/32767)^2 + $E$5*(N32/32767) + $E$6</f>
        <v>3955.89916272216</v>
      </c>
      <c r="P32" s="0" t="n">
        <f aca="false">O32/10-273.15</f>
        <v>122.439916272216</v>
      </c>
      <c r="Q32" s="82" t="n">
        <f aca="false">P32-G32</f>
        <v>22.4399162722156</v>
      </c>
      <c r="R32" s="83" t="n">
        <f aca="false">G32</f>
        <v>100</v>
      </c>
    </row>
    <row r="33" customFormat="false" ht="12.75" hidden="false" customHeight="false" outlineLevel="0" collapsed="false">
      <c r="G33" s="81" t="n">
        <f aca="false">Accuracy!F33</f>
        <v>105</v>
      </c>
      <c r="H33" s="81" t="n">
        <f aca="false">Accuracy!G33</f>
        <v>857.2</v>
      </c>
      <c r="I33" s="81" t="n">
        <v>17437</v>
      </c>
      <c r="J33" s="0" t="n">
        <f aca="false">ROUND(32768 * (H33+$C$11)/(H33 +$C$11 + I33),0)</f>
        <v>1535</v>
      </c>
      <c r="K33" s="0" t="n">
        <f aca="false">ROUND(J33 -((32768-J33)*$C$11)/I33,0)</f>
        <v>1535</v>
      </c>
      <c r="L33" s="0" t="n">
        <f aca="false">$C$9-((32768-K33)*($C$9-$C$10)/(32768-$C$10))</f>
        <v>11703</v>
      </c>
      <c r="M33" s="0" t="n">
        <f aca="false">K33*$C$9/L33</f>
        <v>1535</v>
      </c>
      <c r="N33" s="0" t="n">
        <f aca="false">(16384 * M33)/($C$3*(M33/32767)^4  + $C$4*(M33/32767)^3 + $C$5*(M33/32767)^2+ $C$6 * (M33/32767) + $C$7)</f>
        <v>10387.1231028048</v>
      </c>
      <c r="O33" s="0" t="n">
        <f aca="false">$E$3*(N33/32767)^3 + $E$4*(N33/32767)^2 + $E$5*(N33/32767) + $E$6</f>
        <v>4009.45699553152</v>
      </c>
      <c r="P33" s="0" t="n">
        <f aca="false">O33/10-273.15</f>
        <v>127.795699553152</v>
      </c>
      <c r="Q33" s="82" t="n">
        <f aca="false">P33-G33</f>
        <v>22.795699553152</v>
      </c>
      <c r="R33" s="83" t="n">
        <f aca="false">G33</f>
        <v>105</v>
      </c>
    </row>
    <row r="34" customFormat="false" ht="12.75" hidden="false" customHeight="false" outlineLevel="0" collapsed="false">
      <c r="G34" s="81" t="n">
        <f aca="false">Accuracy!F34</f>
        <v>110</v>
      </c>
      <c r="H34" s="81" t="n">
        <f aca="false">Accuracy!G34</f>
        <v>757.6</v>
      </c>
      <c r="I34" s="81" t="n">
        <v>17417</v>
      </c>
      <c r="J34" s="0" t="n">
        <f aca="false">ROUND(32768 * (H34+$C$11)/(H34 +$C$11 + I34),0)</f>
        <v>1366</v>
      </c>
      <c r="K34" s="0" t="n">
        <f aca="false">ROUND(J34 -((32768-J34)*$C$11)/I34,0)</f>
        <v>1366</v>
      </c>
      <c r="L34" s="0" t="n">
        <f aca="false">$C$9-((32768-K34)*($C$9-$C$10)/(32768-$C$10))</f>
        <v>11703</v>
      </c>
      <c r="M34" s="0" t="n">
        <f aca="false">K34*$C$9/L34</f>
        <v>1366</v>
      </c>
      <c r="N34" s="0" t="n">
        <f aca="false">(16384 * M34)/($C$3*(M34/32767)^4  + $C$4*(M34/32767)^3 + $C$5*(M34/32767)^2+ $C$6 * (M34/32767) + $C$7)</f>
        <v>9861.58122023781</v>
      </c>
      <c r="O34" s="0" t="n">
        <f aca="false">$E$3*(N34/32767)^3 + $E$4*(N34/32767)^2 + $E$5*(N34/32767) + $E$6</f>
        <v>4062.25566275332</v>
      </c>
      <c r="P34" s="0" t="n">
        <f aca="false">O34/10-273.15</f>
        <v>133.075566275332</v>
      </c>
      <c r="Q34" s="82" t="n">
        <f aca="false">P34-G34</f>
        <v>23.0755662753323</v>
      </c>
      <c r="R34" s="83" t="n">
        <f aca="false">G34</f>
        <v>110</v>
      </c>
    </row>
    <row r="35" customFormat="false" ht="12.75" hidden="false" customHeight="false" outlineLevel="0" collapsed="false">
      <c r="G35" s="81" t="n">
        <f aca="false">Accuracy!F35</f>
        <v>115</v>
      </c>
      <c r="H35" s="81" t="n">
        <f aca="false">Accuracy!G35</f>
        <v>0</v>
      </c>
      <c r="I35" s="81"/>
      <c r="J35" s="0" t="e">
        <f aca="false">ROUND(32768 * (H35+$C$11)/(H35 +$C$11 + I35),0)</f>
        <v>#DIV/0!</v>
      </c>
      <c r="K35" s="0" t="e">
        <f aca="false">ROUND(J35 -((32768-J35)*$C$11)/I35,0)</f>
        <v>#DIV/0!</v>
      </c>
      <c r="L35" s="0" t="e">
        <f aca="false">$C$9-((32768-K35)*($C$9-$C$10)/(32768-$C$10))</f>
        <v>#DIV/0!</v>
      </c>
      <c r="M35" s="0" t="e">
        <f aca="false">K35*$C$9/L35</f>
        <v>#DIV/0!</v>
      </c>
      <c r="N35" s="0" t="e">
        <f aca="false">(16384 * M35)/($C$3*(M35/32767)^4  + $C$4*(M35/32767)^3 + $C$5*(M35/32767)^2+ $C$6 * (M35/32767) + $C$7)</f>
        <v>#DIV/0!</v>
      </c>
      <c r="O35" s="0" t="e">
        <f aca="false">$E$3*(N35/32767)^3 + $E$4*(N35/32767)^2 + $E$5*(N35/32767) + $E$6</f>
        <v>#DIV/0!</v>
      </c>
      <c r="P35" s="0" t="e">
        <f aca="false">O35/10-273.15</f>
        <v>#DIV/0!</v>
      </c>
      <c r="Q35" s="83" t="e">
        <f aca="false">P35-G35</f>
        <v>#DIV/0!</v>
      </c>
      <c r="R35" s="83" t="n">
        <f aca="false">G35</f>
        <v>115</v>
      </c>
    </row>
    <row r="36" customFormat="false" ht="12.75" hidden="false" customHeight="false" outlineLevel="0" collapsed="false">
      <c r="G36" s="81" t="n">
        <f aca="false">Accuracy!F36</f>
        <v>0</v>
      </c>
      <c r="H36" s="81" t="n">
        <f aca="false">Accuracy!G36</f>
        <v>0</v>
      </c>
      <c r="I36" s="81"/>
      <c r="J36" s="0" t="e">
        <f aca="false">ROUND(32768 * (H36+$C$11)/(H36 +$C$11 + I36),0)</f>
        <v>#DIV/0!</v>
      </c>
      <c r="K36" s="0" t="e">
        <f aca="false">ROUND(J36 -((32768-J36)*$C$11)/I36,0)</f>
        <v>#DIV/0!</v>
      </c>
      <c r="L36" s="0" t="e">
        <f aca="false">$C$9-((32768-K36)*($C$9-$C$10)/(32768-$C$10))</f>
        <v>#DIV/0!</v>
      </c>
      <c r="M36" s="0" t="e">
        <f aca="false">K36*$C$9/L36</f>
        <v>#DIV/0!</v>
      </c>
      <c r="N36" s="0" t="e">
        <f aca="false">(16384 * M36)/($C$3*(M36/32767)^4  + $C$4*(M36/32767)^3 + $C$5*(M36/32767)^2+ $C$6 * (M36/32767) + $C$7)</f>
        <v>#DIV/0!</v>
      </c>
      <c r="O36" s="0" t="e">
        <f aca="false">$E$3*(N36/32767)^3 + $E$4*(N36/32767)^2 + $E$5*(N36/32767) + $E$6</f>
        <v>#DIV/0!</v>
      </c>
      <c r="P36" s="0" t="e">
        <f aca="false">O36/10-273.15</f>
        <v>#DIV/0!</v>
      </c>
      <c r="Q36" s="83" t="e">
        <f aca="false">P36-G36</f>
        <v>#DIV/0!</v>
      </c>
      <c r="R36" s="83" t="n">
        <f aca="false">G36</f>
        <v>0</v>
      </c>
    </row>
    <row r="37" customFormat="false" ht="12.75" hidden="false" customHeight="false" outlineLevel="0" collapsed="false">
      <c r="G37" s="81" t="n">
        <f aca="false">Accuracy!F37</f>
        <v>0</v>
      </c>
      <c r="H37" s="81" t="n">
        <f aca="false">Accuracy!G37</f>
        <v>0</v>
      </c>
      <c r="I37" s="81"/>
      <c r="J37" s="0" t="e">
        <f aca="false">ROUND(32768 * (H37+$C$11)/(H37 +$C$11 + I37),0)</f>
        <v>#DIV/0!</v>
      </c>
      <c r="K37" s="0" t="e">
        <f aca="false">ROUND(J37 -((32768-J37)*$C$11)/I37,0)</f>
        <v>#DIV/0!</v>
      </c>
      <c r="L37" s="0" t="e">
        <f aca="false">$C$9-((32768-K37)*($C$9-$C$10)/(32768-$C$10))</f>
        <v>#DIV/0!</v>
      </c>
      <c r="M37" s="0" t="e">
        <f aca="false">K37*$C$9/L37</f>
        <v>#DIV/0!</v>
      </c>
      <c r="N37" s="0" t="e">
        <f aca="false">(16384 * M37)/($C$3*(M37/32767)^4  + $C$4*(M37/32767)^3 + $C$5*(M37/32767)^2+ $C$6 * (M37/32767) + $C$7)</f>
        <v>#DIV/0!</v>
      </c>
      <c r="O37" s="0" t="e">
        <f aca="false">$E$3*(N37/32767)^3 + $E$4*(N37/32767)^2 + $E$5*(N37/32767) + $E$6</f>
        <v>#DIV/0!</v>
      </c>
      <c r="P37" s="0" t="e">
        <f aca="false">O37/10-273.15</f>
        <v>#DIV/0!</v>
      </c>
      <c r="Q37" s="83" t="e">
        <f aca="false">P37-G37</f>
        <v>#DIV/0!</v>
      </c>
      <c r="R37" s="83" t="n">
        <f aca="false">G37</f>
        <v>0</v>
      </c>
    </row>
    <row r="38" customFormat="false" ht="12.75" hidden="false" customHeight="false" outlineLevel="0" collapsed="false">
      <c r="G38" s="81" t="n">
        <f aca="false">Accuracy!F38</f>
        <v>0</v>
      </c>
      <c r="H38" s="81" t="n">
        <f aca="false">Accuracy!G38</f>
        <v>0</v>
      </c>
      <c r="I38" s="81"/>
      <c r="J38" s="0" t="e">
        <f aca="false">ROUND(32768 * (H38+$C$11)/(H38 +$C$11 + I38),0)</f>
        <v>#DIV/0!</v>
      </c>
      <c r="K38" s="0" t="e">
        <f aca="false">ROUND(J38 -((32768-J38)*$C$11)/I38,0)</f>
        <v>#DIV/0!</v>
      </c>
      <c r="L38" s="0" t="e">
        <f aca="false">$C$9-((32768-K38)*($C$9-$C$10)/(32768-$C$10))</f>
        <v>#DIV/0!</v>
      </c>
      <c r="M38" s="0" t="e">
        <f aca="false">K38*$C$9/L38</f>
        <v>#DIV/0!</v>
      </c>
      <c r="N38" s="0" t="e">
        <f aca="false">(16384 * M38)/($C$3*(M38/32767)^4  + $C$4*(M38/32767)^3 + $C$5*(M38/32767)^2+ $C$6 * (M38/32767) + $C$7)</f>
        <v>#DIV/0!</v>
      </c>
      <c r="O38" s="0" t="e">
        <f aca="false">$E$3*(N38/32767)^3 + $E$4*(N38/32767)^2 + $E$5*(N38/32767) + $E$6</f>
        <v>#DIV/0!</v>
      </c>
      <c r="P38" s="0" t="e">
        <f aca="false">O38/10-273.15</f>
        <v>#DIV/0!</v>
      </c>
      <c r="Q38" s="83" t="e">
        <f aca="false">P38-G38</f>
        <v>#DIV/0!</v>
      </c>
      <c r="R38" s="83" t="n">
        <f aca="false">G38</f>
        <v>0</v>
      </c>
    </row>
    <row r="39" customFormat="false" ht="12.75" hidden="false" customHeight="false" outlineLevel="0" collapsed="false">
      <c r="G39" s="81" t="n">
        <f aca="false">Accuracy!F39</f>
        <v>0</v>
      </c>
      <c r="H39" s="81" t="n">
        <f aca="false">Accuracy!G39</f>
        <v>0</v>
      </c>
      <c r="I39" s="81"/>
      <c r="J39" s="0" t="e">
        <f aca="false">ROUND(32768 * (H39+$C$11)/(H39 +$C$11 + I39),0)</f>
        <v>#DIV/0!</v>
      </c>
      <c r="K39" s="0" t="e">
        <f aca="false">ROUND(J39 -((32768-J39)*$C$11)/I39,0)</f>
        <v>#DIV/0!</v>
      </c>
      <c r="L39" s="0" t="e">
        <f aca="false">$C$9-((32768-K39)*($C$9-$C$10)/(32768-$C$10))</f>
        <v>#DIV/0!</v>
      </c>
      <c r="M39" s="0" t="e">
        <f aca="false">K39*$C$9/L39</f>
        <v>#DIV/0!</v>
      </c>
      <c r="N39" s="0" t="e">
        <f aca="false">(16384 * M39)/($C$3*(M39/32767)^4  + $C$4*(M39/32767)^3 + $C$5*(M39/32767)^2+ $C$6 * (M39/32767) + $C$7)</f>
        <v>#DIV/0!</v>
      </c>
      <c r="O39" s="0" t="e">
        <f aca="false">$E$3*(N39/32767)^3 + $E$4*(N39/32767)^2 + $E$5*(N39/32767) + $E$6</f>
        <v>#DIV/0!</v>
      </c>
      <c r="P39" s="0" t="e">
        <f aca="false">O39/10-273.15</f>
        <v>#DIV/0!</v>
      </c>
      <c r="Q39" s="83" t="e">
        <f aca="false">P39-G39</f>
        <v>#DIV/0!</v>
      </c>
      <c r="R39" s="83" t="n">
        <f aca="false">G39</f>
        <v>0</v>
      </c>
    </row>
  </sheetData>
  <mergeCells count="1">
    <mergeCell ref="B14:E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1382</TotalTime>
  <Application>LibreOffice/25.2.3.2$Windows_X86_64 LibreOffice_project/bbb074479178df812d175f709636b368952c2ce3</Application>
  <AppVersion>15.0000</AppVersion>
  <Company>Texas Instruments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2008-01-21T19:57:04Z</dcterms:created>
  <dc:creator>a0797214</dc:creator>
  <dc:description/>
  <dc:language>et-EE</dc:language>
  <cp:lastModifiedBy/>
  <cp:lastPrinted>2026-02-26T13:06:05Z</cp:lastPrinted>
  <dcterms:modified xsi:type="dcterms:W3CDTF">2026-02-26T13:17:41Z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