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sdx" ContentType="application/vnd.ms-visio.drawing"/>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Alimentation 35W\TI Instrument\"/>
    </mc:Choice>
  </mc:AlternateContent>
  <bookViews>
    <workbookView xWindow="0" yWindow="0" windowWidth="21570" windowHeight="8160" tabRatio="721"/>
  </bookViews>
  <sheets>
    <sheet name="Input Here" sheetId="1" r:id="rId1"/>
    <sheet name="Calculation" sheetId="2" r:id="rId2"/>
    <sheet name="Schematic and Values" sheetId="4" r:id="rId3"/>
    <sheet name="Secondary Resonance" sheetId="5" r:id="rId4"/>
    <sheet name="Burst Mode for USB-PD" sheetId="7" r:id="rId5"/>
    <sheet name="Hide Calculate" sheetId="6" state="hidden" r:id="rId6"/>
  </sheets>
  <definedNames>
    <definedName name="_∆V_MIN">Calculation!$D$33</definedName>
    <definedName name="_∆VO_ABM">Calculation!$D$27</definedName>
    <definedName name="BUR">'Input Here'!$C$32</definedName>
    <definedName name="Cboot">Calculation!$D$146</definedName>
    <definedName name="CBootD_T">'Input Here'!$C$65</definedName>
    <definedName name="CBULK">'Input Here'!$C$71</definedName>
    <definedName name="CBULK_act">'Input Here'!$C$70</definedName>
    <definedName name="CBULK_rec">'Input Here'!$C$69</definedName>
    <definedName name="CBUR">Calculation!$D$122</definedName>
    <definedName name="CBUR_act">Calculation!$D$121</definedName>
    <definedName name="CBUR_rec">Calculation!$D$120</definedName>
    <definedName name="Cclamp">Calculation!$D$70</definedName>
    <definedName name="Cclamp_act">Calculation!$D$69</definedName>
    <definedName name="Cclamp_rec">Calculation!$D$68</definedName>
    <definedName name="CCS">Calculation!$D$97</definedName>
    <definedName name="CCS_act">Calculation!$D$96</definedName>
    <definedName name="CCS_rec">Calculation!$D$95</definedName>
    <definedName name="CDaux_H">'Input Here'!$C$125</definedName>
    <definedName name="CDaux_T">'Input Here'!$C$124</definedName>
    <definedName name="CDD_1">Calculation!$D$162</definedName>
    <definedName name="CDD1_act">Calculation!$D$161</definedName>
    <definedName name="CDD1_rec">Calculation!$D$160</definedName>
    <definedName name="CDD2_">Calculation!$D$148</definedName>
    <definedName name="Cdiff">Calculation!$D$193</definedName>
    <definedName name="Cdiff_act">Calculation!$D$192</definedName>
    <definedName name="Cdiff_rec">Calculation!$D$191</definedName>
    <definedName name="CDz">'Input Here'!$C$120</definedName>
    <definedName name="CFB">Calculation!$D$168</definedName>
    <definedName name="CHVG">Calculation!$D$138</definedName>
    <definedName name="CHVG_act">Calculation!$D$137</definedName>
    <definedName name="CHVG_rec">Calculation!$D$136</definedName>
    <definedName name="Cint">Calculation!$D$200</definedName>
    <definedName name="Cint_act">Calculation!$D$199</definedName>
    <definedName name="Cint_rec">Calculation!$D$198</definedName>
    <definedName name="Ciss_Qs">'Input Here'!$C$114</definedName>
    <definedName name="Co_1">'Secondary Resonance'!$E$25:$G$25</definedName>
    <definedName name="Co1_dec">'Secondary Resonance'!$E$23</definedName>
    <definedName name="Co1_rec">'Secondary Resonance'!$E$24</definedName>
    <definedName name="COSS_QH_bg">'Input Here'!$C$47</definedName>
    <definedName name="COSS_QH_sm">'Input Here'!$C$48</definedName>
    <definedName name="Coss_QH_T">'Input Here'!$C$51</definedName>
    <definedName name="COSS_QL_bg">'Input Here'!$C$55</definedName>
    <definedName name="COSS_QL_sm">'Input Here'!$C$56</definedName>
    <definedName name="COSS_Qs">'Input Here'!$C$111</definedName>
    <definedName name="Coss_SR_bg">'Input Here'!$C$84</definedName>
    <definedName name="COSS_SR_H">'Input Here'!$C$88</definedName>
    <definedName name="Coss_SR_sm">'Input Here'!$C$85</definedName>
    <definedName name="Coss_SR_T">'Input Here'!$C$87</definedName>
    <definedName name="COUT">'Input Here'!$C$77</definedName>
    <definedName name="COUT_act">'Input Here'!$C$76</definedName>
    <definedName name="COUT_rec">'Input Here'!$C$75</definedName>
    <definedName name="CREF">Calculation!$D$141</definedName>
    <definedName name="CREF_act">Calculation!$D$140</definedName>
    <definedName name="CREF_rec">Calculation!$D$139</definedName>
    <definedName name="CSW_0toVx">'Hide Calculate'!$D$21</definedName>
    <definedName name="CSW_T_nor">Calculation!$D$64</definedName>
    <definedName name="CSWS">Calculation!$D$127</definedName>
    <definedName name="CSWS_act">Calculation!$D$126</definedName>
    <definedName name="CSWS_rec">Calculation!$D$125</definedName>
    <definedName name="CTr">Calculation!$D$54</definedName>
    <definedName name="CTRmax">'Input Here'!$C$98</definedName>
    <definedName name="CTRmin">'Input Here'!$C$99</definedName>
    <definedName name="D_max">Calculation!$D$48</definedName>
    <definedName name="DBUR">'Hide Calculate'!$D$39</definedName>
    <definedName name="DBUR_min">'Hide Calculate'!$D$51</definedName>
    <definedName name="Dmin">'Hide Calculate'!$D$67</definedName>
    <definedName name="DOPP_max">'Hide Calculate'!$D$28</definedName>
    <definedName name="DOPP_min">'Hide Calculate'!$D$19</definedName>
    <definedName name="DOPP_run">'Hide Calculate'!$D$12</definedName>
    <definedName name="DOPP_start">'Hide Calculate'!$D$59</definedName>
    <definedName name="Drea_CDD1">Calculation!$D$159</definedName>
    <definedName name="Drea_clamp">Calculation!$D$67</definedName>
    <definedName name="fBUR_LR">Calculation!$D$28</definedName>
    <definedName name="fBUR_standyby">'Input Here'!$C$36</definedName>
    <definedName name="fBUR_UP">Calculation!$D$29</definedName>
    <definedName name="Fcr_min">'Input Here'!$C$35</definedName>
    <definedName name="fLINE_min">'Input Here'!$C$23</definedName>
    <definedName name="fp_opto">'Input Here'!$C$97</definedName>
    <definedName name="fsw_BUR">'Hide Calculate'!$D$38</definedName>
    <definedName name="fsw_BUR_min">'Hide Calculate'!$D$50</definedName>
    <definedName name="fsw_min">'Hide Calculate'!$D$65</definedName>
    <definedName name="fsw_OPP_max">'Hide Calculate'!$D$27</definedName>
    <definedName name="fsw_OPP_min">'Hide Calculate'!$D$17</definedName>
    <definedName name="fsw_OPP_run">'Hide Calculate'!$D$9</definedName>
    <definedName name="fsw_OPP_start">'Hide Calculate'!$D$57</definedName>
    <definedName name="fSWmin">'Input Here'!$C$24</definedName>
    <definedName name="ID_SR_max">'Input Here'!$C$90</definedName>
    <definedName name="IDaux_max">'Input Here'!$C$127</definedName>
    <definedName name="IEN_VDD">Calculation!$D$23</definedName>
    <definedName name="IFB_max">Calculation!$D$26</definedName>
    <definedName name="IIN_BUR">'Hide Calculate'!$D$40</definedName>
    <definedName name="IIN_BUR_min">'Hide Calculate'!$D$52</definedName>
    <definedName name="IIN_min">'Hide Calculate'!$D$66</definedName>
    <definedName name="IIN_OPP_max">'Hide Calculate'!$D$29</definedName>
    <definedName name="IIN_OPP_min">'Hide Calculate'!$D$18</definedName>
    <definedName name="IIN_OPP_run">'Hide Calculate'!$D$10</definedName>
    <definedName name="IIN_OPP_start">'Hide Calculate'!$D$58</definedName>
    <definedName name="IKA_min">'Input Here'!$C$104</definedName>
    <definedName name="IM_nega_BUR">'Hide Calculate'!$D$37</definedName>
    <definedName name="IM_nega_BUR_min">'Hide Calculate'!$D$49</definedName>
    <definedName name="IM_nega_max">'Hide Calculate'!$D$26</definedName>
    <definedName name="IM_nega_min">'Hide Calculate'!$D$64</definedName>
    <definedName name="IM_nega_OPP_min">'Hide Calculate'!$D$16</definedName>
    <definedName name="IM_nega_run">'Hide Calculate'!$D$11</definedName>
    <definedName name="IM_nega_start">'Hide Calculate'!$D$56</definedName>
    <definedName name="IOUT">'Input Here'!$C$31</definedName>
    <definedName name="ipk_BUR">'Hide Calculate'!$D$36</definedName>
    <definedName name="ipk_BUR_min">'Hide Calculate'!$D$48</definedName>
    <definedName name="ipk_min">'Hide Calculate'!$D$63</definedName>
    <definedName name="ipk_OPP_max">'Hide Calculate'!$D$25</definedName>
    <definedName name="ipk_OPP_min">'Hide Calculate'!$D$15</definedName>
    <definedName name="ipk_OPP_run">'Hide Calculate'!$D$8</definedName>
    <definedName name="ipk_OPP_start">'Hide Calculate'!$D$55</definedName>
    <definedName name="IQH_max">'Input Here'!$C$50</definedName>
    <definedName name="IQL_max">'Input Here'!$C$58</definedName>
    <definedName name="iQL_RMS">Calculation!$D$88</definedName>
    <definedName name="Iref_431">'Input Here'!$C$106</definedName>
    <definedName name="Iref_431_max">'Input Here'!$C$107</definedName>
    <definedName name="IRUN_VDD">Calculation!$D$19</definedName>
    <definedName name="Istart_HVG">Calculation!$D$22</definedName>
    <definedName name="IVCC_qcc">'Input Here'!$C$66</definedName>
    <definedName name="IVCC_sw">'Hide Calculate'!$D$60</definedName>
    <definedName name="iVSL_BUR">'Hide Calculate'!$D$41</definedName>
    <definedName name="iVSL_max">'Hide Calculate'!$D$31</definedName>
    <definedName name="IVSL_run">Calculation!$D$7</definedName>
    <definedName name="Iwait_VDD">Calculation!$D$20</definedName>
    <definedName name="KBUR_CST">Calculation!$D$17</definedName>
    <definedName name="KCTR_Temp">'Input Here'!$C$100</definedName>
    <definedName name="Kder">'Input Here'!$C$39</definedName>
    <definedName name="Kder_SR">'Input Here'!$C$81</definedName>
    <definedName name="KDM">Calculation!$D$16</definedName>
    <definedName name="KLC">Calculation!$D$15</definedName>
    <definedName name="KRES">Calculation!$D$32</definedName>
    <definedName name="KTZ">'Input Here'!$C$43</definedName>
    <definedName name="KVC">'Hide Calculate'!$D$68</definedName>
    <definedName name="kZmax">'Hide Calculate'!#REF!</definedName>
    <definedName name="LK_actual">Calculation!$D$52</definedName>
    <definedName name="LM">Calculation!$D$51</definedName>
    <definedName name="LM_actual">Calculation!$D$50</definedName>
    <definedName name="LM_recommended">Calculation!$D$49</definedName>
    <definedName name="Lo">'Secondary Resonance'!$E$28</definedName>
    <definedName name="LQs">'Input Here'!$C$113</definedName>
    <definedName name="NA">Calculation!$D$46</definedName>
    <definedName name="NA_act">Calculation!#REF!</definedName>
    <definedName name="NA_max">Calculation!$D$45</definedName>
    <definedName name="NA_min">Calculation!$D$44</definedName>
    <definedName name="Na1_">'Burst Mode for USB-PD'!$B$5</definedName>
    <definedName name="Na2_">'Burst Mode for USB-PD'!$B$6</definedName>
    <definedName name="NP">Calculation!$D$41</definedName>
    <definedName name="NPS">Calculation!$D$40</definedName>
    <definedName name="NPS_actual">Calculation!#REF!</definedName>
    <definedName name="NPS_min">Calculation!$D$38</definedName>
    <definedName name="NPS_recommended">Calculation!#REF!</definedName>
    <definedName name="NS">Calculation!$D$42</definedName>
    <definedName name="NS_">'Burst Mode for USB-PD'!$B$7</definedName>
    <definedName name="NSS">Calculation!$D$43</definedName>
    <definedName name="OPP">'Input Here'!$C$33</definedName>
    <definedName name="OVP">'Input Here'!$C$34</definedName>
    <definedName name="PO_FL">'Input Here'!$C$30</definedName>
    <definedName name="PRcs">Calculation!$D$89</definedName>
    <definedName name="Qg_Qh">'Hide Calculate'!$D$47</definedName>
    <definedName name="R_OPP">Calculation!$D$94</definedName>
    <definedName name="R_OPP_act">Calculation!$D$93</definedName>
    <definedName name="R_OPP_rec">Calculation!$D$92</definedName>
    <definedName name="Rbias1">Calculation!$D$177</definedName>
    <definedName name="Rbias1_max_ABM">Calculation!$D$174</definedName>
    <definedName name="Rbias1_max_SBP">Calculation!$D$173</definedName>
    <definedName name="Rbias2">Calculation!$D$172</definedName>
    <definedName name="Rbias2_act">Calculation!$D$171</definedName>
    <definedName name="Rbias2_rec">Calculation!$D$170</definedName>
    <definedName name="RBLEED">Calculation!$D$73</definedName>
    <definedName name="RBLEED_act">Calculation!$D$72</definedName>
    <definedName name="RBLEED_rec">Calculation!#REF!</definedName>
    <definedName name="RBLEED_recc">Calculation!$D$71</definedName>
    <definedName name="RBUR1">Calculation!$D$118</definedName>
    <definedName name="RBUR1_act">Calculation!$D$117</definedName>
    <definedName name="RBUR1_rec">Calculation!$D$116</definedName>
    <definedName name="RBUR2">Calculation!$D$115</definedName>
    <definedName name="RBUR2_act">Calculation!$D$114</definedName>
    <definedName name="RBUR2_rec">Calculation!$D$113</definedName>
    <definedName name="RCO">'Input Here'!$C$73</definedName>
    <definedName name="RCOMP">Calculation!$D$169</definedName>
    <definedName name="RCS">Calculation!$D$87</definedName>
    <definedName name="RCS_act">Calculation!$D$86</definedName>
    <definedName name="RCS_rec">Calculation!$D$85</definedName>
    <definedName name="RDD_1">Calculation!$D$156</definedName>
    <definedName name="RDD1_act">Calculation!$D$155</definedName>
    <definedName name="RDD1_rec">Calculation!$D$154</definedName>
    <definedName name="RDD2_">Calculation!$D$150</definedName>
    <definedName name="RDD2_rec">Calculation!$D$149</definedName>
    <definedName name="Rdiff">Calculation!$D$196</definedName>
    <definedName name="Rdiff_act">Calculation!$D$195</definedName>
    <definedName name="Rdiff_rec">Calculation!$D$194</definedName>
    <definedName name="RDM">Calculation!$D$103</definedName>
    <definedName name="RDM_act">Calculation!$D$102</definedName>
    <definedName name="RDM_rec">Calculation!$D$101</definedName>
    <definedName name="RDSon_QH">'Input Here'!$C$46</definedName>
    <definedName name="RDSon_QL">'Input Here'!$C$54</definedName>
    <definedName name="RFB">Calculation!$D$167</definedName>
    <definedName name="RFB_act">Calculation!$D$166</definedName>
    <definedName name="RFB_int">Calculation!$D$25</definedName>
    <definedName name="RFB_max">Calculation!$D$165</definedName>
    <definedName name="RHVG">Calculation!$D$135</definedName>
    <definedName name="RHVG_act">Calculation!$D$134</definedName>
    <definedName name="RHVG_rec">Calculation!$D$133</definedName>
    <definedName name="Rpri_dc">Calculation!$D$55</definedName>
    <definedName name="RSWS">Calculation!$D$130</definedName>
    <definedName name="RSWS_act">Calculation!$D$129</definedName>
    <definedName name="RSWS_rec">Calculation!$D$128</definedName>
    <definedName name="RTZ">Calculation!$D$109</definedName>
    <definedName name="RTZ_act">Calculation!$D$108</definedName>
    <definedName name="RTZ_rec">Calculation!$D$107</definedName>
    <definedName name="Rvo1_">Calculation!$D$186</definedName>
    <definedName name="Rvo1_act">Calculation!$D$185</definedName>
    <definedName name="Rvo1_rec">Calculation!$D$184</definedName>
    <definedName name="Rvo2_">Calculation!$D$183</definedName>
    <definedName name="Rvo2_act">Calculation!$D$182</definedName>
    <definedName name="Rvo2_rec">Calculation!$D$181</definedName>
    <definedName name="RVS_1">Calculation!$D$78</definedName>
    <definedName name="RVS_2">Calculation!$D$81</definedName>
    <definedName name="RVS1_act">Calculation!$D$77</definedName>
    <definedName name="RVS1_rec">Calculation!$D$76</definedName>
    <definedName name="RVS2_act">Calculation!$D$80</definedName>
    <definedName name="RVS2_rec">Calculation!$D$79</definedName>
    <definedName name="SET">'Input Here'!$C$42</definedName>
    <definedName name="SETPIN">'Input Here'!#REF!</definedName>
    <definedName name="solver_adj" localSheetId="4" hidden="1">'Burst Mode for USB-PD'!$B$9</definedName>
    <definedName name="solver_eng" localSheetId="4" hidden="1">1</definedName>
    <definedName name="solver_eng" localSheetId="1" hidden="1">1</definedName>
    <definedName name="solver_neg" localSheetId="4" hidden="1">1</definedName>
    <definedName name="solver_neg" localSheetId="1" hidden="1">1</definedName>
    <definedName name="solver_num" localSheetId="4" hidden="1">0</definedName>
    <definedName name="solver_num" localSheetId="1" hidden="1">0</definedName>
    <definedName name="solver_opt" localSheetId="4" hidden="1">'Burst Mode for USB-PD'!$B$7</definedName>
    <definedName name="solver_opt" localSheetId="1" hidden="1">'Hide Calculate'!#REF!</definedName>
    <definedName name="solver_typ" localSheetId="4" hidden="1">3</definedName>
    <definedName name="solver_typ" localSheetId="1" hidden="1">1</definedName>
    <definedName name="solver_val" localSheetId="4" hidden="1">0</definedName>
    <definedName name="solver_val" localSheetId="1" hidden="1">0</definedName>
    <definedName name="solver_ver" localSheetId="4" hidden="1">3</definedName>
    <definedName name="solver_ver" localSheetId="1" hidden="1">3</definedName>
    <definedName name="T_on_min">'Hide Calculate'!$D$20</definedName>
    <definedName name="tD_CS">Calculation!$D$9</definedName>
    <definedName name="TD_CS_filter">Calculation!$D$84</definedName>
    <definedName name="tD_CST">'Hide Calculate'!$D$22</definedName>
    <definedName name="TD_HDr">'Input Here'!$C$63</definedName>
    <definedName name="TD_LDr">'Input Here'!$C$62</definedName>
    <definedName name="tD_RUN_PWML">Calculation!$D$21</definedName>
    <definedName name="TFDR">Calculation!$D$30</definedName>
    <definedName name="THVG">Calculation!$D$157</definedName>
    <definedName name="tres">'Hide Calculate'!#REF!</definedName>
    <definedName name="Trise_max">'Hide Calculate'!$D$44</definedName>
    <definedName name="TSS_max">Calculation!$D$158</definedName>
    <definedName name="tSW">'Hide Calculate'!#REF!</definedName>
    <definedName name="tSW_off">'Hide Calculate'!#REF!</definedName>
    <definedName name="tSW_on">'Hide Calculate'!#REF!</definedName>
    <definedName name="tSWmax">'Hide Calculate'!#REF!</definedName>
    <definedName name="TZ_min">Calculation!$D$106</definedName>
    <definedName name="VBULKmin_tgt">'Input Here'!#REF!</definedName>
    <definedName name="Vbur1">'Burst Mode for USB-PD'!$E$9</definedName>
    <definedName name="Vbur2">'Burst Mode for USB-PD'!$E$10</definedName>
    <definedName name="VCE_sat_opto">'Input Here'!$C$94</definedName>
    <definedName name="Vcin_rated">'Input Here'!$C$72</definedName>
    <definedName name="Vclamp_max">'Hide Calculate'!$D$5</definedName>
    <definedName name="Vclamp_max_QH">'Hide Calculate'!$D$4</definedName>
    <definedName name="Vclamp_max_SR">'Hide Calculate'!$D$3</definedName>
    <definedName name="VCST_BUR">Calculation!$D$112</definedName>
    <definedName name="VCST_max">Calculation!$D$10</definedName>
    <definedName name="VCST_OPP1">Calculation!$D$11</definedName>
    <definedName name="VCST_OPP4">Calculation!$D$12</definedName>
    <definedName name="VD_LED">'Input Here'!$C$95</definedName>
    <definedName name="VD_LED_off">'Input Here'!$C$96</definedName>
    <definedName name="VDD">Calculation!$D$153</definedName>
    <definedName name="VDD_max">Calculation!$D$5</definedName>
    <definedName name="VDD_off">Calculation!$D$3</definedName>
    <definedName name="VDD_on">Calculation!$D$4</definedName>
    <definedName name="VDD_PCT">Calculation!$D$6</definedName>
    <definedName name="VDS_actual">'Input Here'!$C$41</definedName>
    <definedName name="VDz">'Input Here'!$C$119</definedName>
    <definedName name="Vf_BootD">'Input Here'!$C$64</definedName>
    <definedName name="Vf_Daux">'Input Here'!$C$126</definedName>
    <definedName name="Vf_SR">'Input Here'!$C$89</definedName>
    <definedName name="VFB_max">Calculation!$D$24</definedName>
    <definedName name="Vgs_Qs">'Input Here'!$C$112</definedName>
    <definedName name="VHVG">Calculation!$D$18</definedName>
    <definedName name="Vhys_CS">Calculation!$D$13</definedName>
    <definedName name="VIN_LOW">'Input Here'!$C$22</definedName>
    <definedName name="Vin_type">'Input Here'!$C$16</definedName>
    <definedName name="VINPUT_Brownin">'Input Here'!$C$18</definedName>
    <definedName name="VINPUT_Brownout">'Input Here'!$C$17</definedName>
    <definedName name="VINPUT_BUR">'Input Here'!$C$20</definedName>
    <definedName name="VINPUT_max">'Input Here'!$C$19</definedName>
    <definedName name="VINPUT_nom">'Input Here'!$C$21</definedName>
    <definedName name="VLk_pri_max">'Hide Calculate'!$D$33</definedName>
    <definedName name="Vo_drop">'Input Here'!$C$74</definedName>
    <definedName name="Voffset_CS_OPP">'Hide Calculate'!$D$30</definedName>
    <definedName name="Vomax">'Burst Mode for USB-PD'!$B$9</definedName>
    <definedName name="Vomin">'Burst Mode for USB-PD'!$B$10</definedName>
    <definedName name="VOUT">'Input Here'!$C$29</definedName>
    <definedName name="VR_pri_max">'Hide Calculate'!$D$32</definedName>
    <definedName name="Vref_431">'Input Here'!$C$105</definedName>
    <definedName name="VRfl">Calculation!$D$47</definedName>
    <definedName name="Vs_clamp">Calculation!$D$14</definedName>
    <definedName name="VSR_actual">'Input Here'!$C$83</definedName>
    <definedName name="Vth_Qs">'Input Here'!$C$115</definedName>
    <definedName name="VVS_OVP">Calculation!$D$8</definedName>
    <definedName name="Vx_SR">'Input Here'!$C$86</definedName>
    <definedName name="Vxh">'Input Here'!$C$49</definedName>
    <definedName name="Vxl">'Input Here'!$C$57</definedName>
    <definedName name="ΔVCLAMP">Calculation!$D$35</definedName>
    <definedName name="ΔVSPIKE">Calculation!$D$34</definedName>
    <definedName name="η">Calculation!$D$31</definedName>
    <definedName name="η_min">'Input Here'!$C$25</definedName>
    <definedName name="ηXFMR">Calculation!$D$53</definedName>
  </definedNames>
  <calcPr calcId="152511"/>
</workbook>
</file>

<file path=xl/calcChain.xml><?xml version="1.0" encoding="utf-8"?>
<calcChain xmlns="http://schemas.openxmlformats.org/spreadsheetml/2006/main">
  <c r="D46" i="2" l="1"/>
  <c r="C17" i="1" l="1"/>
  <c r="C69" i="1" l="1"/>
  <c r="D17" i="1" l="1"/>
  <c r="D19" i="1"/>
  <c r="D20" i="1"/>
  <c r="D21" i="1"/>
  <c r="D22" i="1"/>
  <c r="D18" i="1"/>
  <c r="D73" i="2" l="1"/>
  <c r="D39" i="2"/>
  <c r="D38" i="2"/>
  <c r="C51" i="1" l="1"/>
  <c r="D181" i="2"/>
  <c r="C180" i="2"/>
  <c r="D125" i="2" l="1"/>
  <c r="C59" i="1"/>
  <c r="C87" i="1"/>
  <c r="D16" i="2"/>
  <c r="D18" i="6" l="1"/>
  <c r="C31" i="1" l="1"/>
  <c r="C75" i="1" s="1"/>
  <c r="D119" i="2" l="1"/>
  <c r="D59" i="2" l="1"/>
  <c r="D58" i="2"/>
  <c r="C43" i="1" l="1"/>
  <c r="D22" i="6" l="1"/>
  <c r="D58" i="4" l="1"/>
  <c r="D103" i="2"/>
  <c r="C82" i="1"/>
  <c r="E32" i="5"/>
  <c r="D67" i="6"/>
  <c r="D66" i="6"/>
  <c r="D59" i="6"/>
  <c r="D58" i="6"/>
  <c r="D52" i="6"/>
  <c r="D51" i="6"/>
  <c r="D40" i="6"/>
  <c r="D39" i="6"/>
  <c r="D29" i="6"/>
  <c r="D28" i="6"/>
  <c r="D19" i="6"/>
  <c r="D12" i="6"/>
  <c r="D10" i="6"/>
  <c r="D48" i="2"/>
  <c r="D49" i="2" s="1"/>
  <c r="C72" i="1"/>
  <c r="C40" i="1"/>
  <c r="E30" i="5" l="1"/>
  <c r="H35" i="5" l="1"/>
  <c r="D111" i="4" l="1"/>
  <c r="D47" i="6"/>
  <c r="D21" i="6"/>
  <c r="D139" i="2"/>
  <c r="D122" i="2" l="1"/>
  <c r="D83" i="4" s="1"/>
  <c r="D119" i="4" l="1"/>
  <c r="D122" i="4"/>
  <c r="D99" i="4"/>
  <c r="D95" i="4"/>
  <c r="D68" i="4"/>
  <c r="D64" i="4"/>
  <c r="D50" i="4"/>
  <c r="D46" i="4"/>
  <c r="D191" i="2" l="1"/>
  <c r="D174" i="2"/>
  <c r="D170" i="2"/>
  <c r="D165" i="2"/>
  <c r="D133" i="2"/>
  <c r="D196" i="2"/>
  <c r="D60" i="4" s="1"/>
  <c r="D200" i="2"/>
  <c r="D115" i="4" s="1"/>
  <c r="D193" i="2"/>
  <c r="D186" i="2"/>
  <c r="D54" i="4" s="1"/>
  <c r="D183" i="2"/>
  <c r="D147" i="2"/>
  <c r="D194" i="2" l="1"/>
  <c r="D107" i="4"/>
  <c r="D184" i="2"/>
  <c r="D56" i="4"/>
  <c r="D187" i="2"/>
  <c r="D198" i="2"/>
  <c r="D172" i="2"/>
  <c r="D173" i="2" l="1"/>
  <c r="D176" i="2" s="1"/>
  <c r="D52" i="4"/>
  <c r="D167" i="2" l="1"/>
  <c r="D24" i="4" s="1"/>
  <c r="D26" i="4" l="1"/>
  <c r="D162" i="2"/>
  <c r="D103" i="4" s="1"/>
  <c r="C77" i="1" l="1"/>
  <c r="D67" i="4" s="1"/>
  <c r="C71" i="1"/>
  <c r="D63" i="4" s="1"/>
  <c r="D156" i="2" l="1"/>
  <c r="D48" i="4" s="1"/>
  <c r="D141" i="2"/>
  <c r="D91" i="4" s="1"/>
  <c r="D138" i="2"/>
  <c r="D135" i="2"/>
  <c r="D44" i="4" s="1"/>
  <c r="D127" i="2"/>
  <c r="D118" i="2"/>
  <c r="B8" i="7" s="1"/>
  <c r="D115" i="2"/>
  <c r="D109" i="2"/>
  <c r="D36" i="4" s="1"/>
  <c r="D34" i="4"/>
  <c r="D97" i="2"/>
  <c r="D75" i="4" s="1"/>
  <c r="D94" i="2"/>
  <c r="D62" i="2"/>
  <c r="D61" i="2"/>
  <c r="D60" i="2"/>
  <c r="D38" i="4" l="1"/>
  <c r="D98" i="2"/>
  <c r="D40" i="4"/>
  <c r="D120" i="2"/>
  <c r="D128" i="2"/>
  <c r="D130" i="2" s="1"/>
  <c r="D42" i="4" s="1"/>
  <c r="D79" i="4"/>
  <c r="D157" i="2"/>
  <c r="D87" i="4"/>
  <c r="D95" i="2"/>
  <c r="D32" i="4"/>
  <c r="D70" i="2" l="1"/>
  <c r="D51" i="2"/>
  <c r="D85" i="2" s="1"/>
  <c r="D4" i="6" l="1"/>
  <c r="D3" i="6"/>
  <c r="D33" i="6"/>
  <c r="D71" i="4"/>
  <c r="D118" i="4"/>
  <c r="D120" i="4"/>
  <c r="D72" i="4"/>
  <c r="D5" i="6" l="1"/>
  <c r="D71" i="2" s="1"/>
  <c r="D87" i="2"/>
  <c r="D158" i="2" s="1"/>
  <c r="D42" i="2"/>
  <c r="D47" i="2"/>
  <c r="D63" i="2"/>
  <c r="D43" i="2" l="1"/>
  <c r="B7" i="7" s="1"/>
  <c r="D68" i="2"/>
  <c r="D123" i="4"/>
  <c r="D149" i="2"/>
  <c r="D21" i="4"/>
  <c r="D64" i="2"/>
  <c r="D26" i="6" s="1"/>
  <c r="D27" i="6" s="1"/>
  <c r="D44" i="2" l="1"/>
  <c r="D45" i="2"/>
  <c r="B5" i="7"/>
  <c r="D49" i="6"/>
  <c r="D50" i="6" s="1"/>
  <c r="D11" i="6"/>
  <c r="D9" i="6" s="1"/>
  <c r="D8" i="6" s="1"/>
  <c r="D56" i="6"/>
  <c r="D57" i="6" s="1"/>
  <c r="D37" i="6"/>
  <c r="D38" i="6" s="1"/>
  <c r="D64" i="6"/>
  <c r="D65" i="6" s="1"/>
  <c r="D63" i="6" s="1"/>
  <c r="D16" i="6"/>
  <c r="D17" i="6" s="1"/>
  <c r="E27" i="5" s="1"/>
  <c r="D106" i="2"/>
  <c r="D107" i="2" s="1"/>
  <c r="D81" i="2"/>
  <c r="D153" i="2" l="1"/>
  <c r="D154" i="2" s="1"/>
  <c r="D76" i="2"/>
  <c r="D78" i="2" s="1"/>
  <c r="D28" i="4" s="1"/>
  <c r="D124" i="4"/>
  <c r="E24" i="5"/>
  <c r="D121" i="4"/>
  <c r="D68" i="6"/>
  <c r="D175" i="2" s="1"/>
  <c r="D48" i="6"/>
  <c r="D60" i="6"/>
  <c r="D160" i="2" s="1"/>
  <c r="D25" i="6"/>
  <c r="D30" i="6" s="1"/>
  <c r="D36" i="6"/>
  <c r="D30" i="4"/>
  <c r="D101" i="2" l="1"/>
  <c r="D145" i="2"/>
  <c r="D144" i="2"/>
  <c r="D79" i="2"/>
  <c r="B12" i="7"/>
  <c r="B13" i="7"/>
  <c r="D44" i="6"/>
  <c r="D136" i="2" s="1"/>
  <c r="D15" i="6"/>
  <c r="D20" i="6" s="1"/>
  <c r="D55" i="6"/>
  <c r="D32" i="6" l="1"/>
  <c r="D88" i="2"/>
  <c r="D89" i="2" s="1"/>
  <c r="D22" i="4" s="1"/>
  <c r="D41" i="6" l="1"/>
  <c r="D31" i="6"/>
  <c r="D92" i="2" s="1"/>
  <c r="D112" i="2" l="1"/>
  <c r="D113" i="2" l="1"/>
  <c r="D116" i="2"/>
</calcChain>
</file>

<file path=xl/comments1.xml><?xml version="1.0" encoding="utf-8"?>
<comments xmlns="http://schemas.openxmlformats.org/spreadsheetml/2006/main">
  <authors>
    <author>Mozaffari, Khalegh</author>
  </authors>
  <commentList>
    <comment ref="B14" authorId="0" shapeId="0">
      <text>
        <r>
          <rPr>
            <b/>
            <sz val="9"/>
            <color indexed="81"/>
            <rFont val="Tahoma"/>
            <family val="2"/>
          </rPr>
          <t>Mozaffari, Khalegh:</t>
        </r>
        <r>
          <rPr>
            <sz val="9"/>
            <color indexed="81"/>
            <rFont val="Tahoma"/>
            <family val="2"/>
          </rPr>
          <t xml:space="preserve">
I added ''input specification" here.
What do you think?</t>
        </r>
      </text>
    </comment>
  </commentList>
</comments>
</file>

<file path=xl/sharedStrings.xml><?xml version="1.0" encoding="utf-8"?>
<sst xmlns="http://schemas.openxmlformats.org/spreadsheetml/2006/main" count="1174" uniqueCount="831">
  <si>
    <t>This product is designed as an aid for customers of Texas Instruments. No warranties, either expressed or implied, with respect to this software or its fitness for any particular purpose, are claimed by Texas Instruments or the author. The software is licensed solely on an "as is" basis. The entire risk as to its quality and performance is with the customer.</t>
  </si>
  <si>
    <t>CLEAR ALL USER INPUT CELLS BEFORE STARTING A NEW DESIGN</t>
  </si>
  <si>
    <t>DESIGN REQUIREMENTS</t>
  </si>
  <si>
    <t>UCC28780 DESIGN CALCULATOR TOOL</t>
    <phoneticPr fontId="25" type="noConversion"/>
  </si>
  <si>
    <t/>
  </si>
  <si>
    <t>Hz</t>
  </si>
  <si>
    <t>For universal line enter 47 Hz</t>
  </si>
  <si>
    <t>%</t>
    <phoneticPr fontId="25" type="noConversion"/>
  </si>
  <si>
    <t>OUTPUT SPECIFICATIONS</t>
  </si>
  <si>
    <t>A</t>
  </si>
  <si>
    <t>V</t>
  </si>
  <si>
    <t>W</t>
    <phoneticPr fontId="25" type="noConversion"/>
  </si>
  <si>
    <t>Output Load into BUR, BUR =</t>
    <phoneticPr fontId="25" type="noConversion"/>
  </si>
  <si>
    <t>Output OPP, OPP =</t>
    <phoneticPr fontId="25" type="noConversion"/>
  </si>
  <si>
    <t>Output OVP, OVP =</t>
    <phoneticPr fontId="25" type="noConversion"/>
  </si>
  <si>
    <t>kHz</t>
    <phoneticPr fontId="25" type="noConversion"/>
  </si>
  <si>
    <t>Start with 50%-60% at high line</t>
    <phoneticPr fontId="25" type="noConversion"/>
  </si>
  <si>
    <t>Power level threshold to start OPP timer</t>
    <phoneticPr fontId="25" type="noConversion"/>
  </si>
  <si>
    <t>For loop compensation</t>
    <phoneticPr fontId="25" type="noConversion"/>
  </si>
  <si>
    <t>Ω</t>
  </si>
  <si>
    <t>Transformer Parameter</t>
    <phoneticPr fontId="25" type="noConversion"/>
  </si>
  <si>
    <t>µH</t>
    <phoneticPr fontId="25" type="noConversion"/>
  </si>
  <si>
    <t>Primary MOSFET Switch, QL QH</t>
    <phoneticPr fontId="25" type="noConversion"/>
  </si>
  <si>
    <t>V</t>
    <phoneticPr fontId="25" type="noConversion"/>
  </si>
  <si>
    <r>
      <t>Drain to Source On-Resistance of High Side 
Selected MOSFET, R</t>
    </r>
    <r>
      <rPr>
        <vertAlign val="subscript"/>
        <sz val="11"/>
        <color theme="1"/>
        <rFont val="Arial"/>
        <family val="2"/>
      </rPr>
      <t xml:space="preserve">DSon_QH </t>
    </r>
    <r>
      <rPr>
        <sz val="11"/>
        <color theme="1"/>
        <rFont val="Arial"/>
        <family val="2"/>
      </rPr>
      <t>=</t>
    </r>
    <phoneticPr fontId="25" type="noConversion"/>
  </si>
  <si>
    <r>
      <t>Output Capacitance Threshold of Big-Small-C, V</t>
    </r>
    <r>
      <rPr>
        <vertAlign val="subscript"/>
        <sz val="11"/>
        <color theme="1"/>
        <rFont val="Arial"/>
        <family val="2"/>
      </rPr>
      <t>xh</t>
    </r>
    <r>
      <rPr>
        <sz val="11"/>
        <color theme="1"/>
        <rFont val="Arial"/>
        <family val="2"/>
      </rPr>
      <t xml:space="preserve"> =</t>
    </r>
    <phoneticPr fontId="25" type="noConversion"/>
  </si>
  <si>
    <t>pF</t>
    <phoneticPr fontId="25" type="noConversion"/>
  </si>
  <si>
    <r>
      <t>C</t>
    </r>
    <r>
      <rPr>
        <vertAlign val="subscript"/>
        <sz val="11"/>
        <color theme="1"/>
        <rFont val="Arial"/>
        <family val="2"/>
      </rPr>
      <t>OSS_QH_T</t>
    </r>
    <r>
      <rPr>
        <sz val="11"/>
        <color theme="1"/>
        <rFont val="Arial"/>
        <family val="2"/>
      </rPr>
      <t xml:space="preserve"> =</t>
    </r>
    <phoneticPr fontId="25" type="noConversion"/>
  </si>
  <si>
    <r>
      <t>C</t>
    </r>
    <r>
      <rPr>
        <vertAlign val="subscript"/>
        <sz val="11"/>
        <color theme="1"/>
        <rFont val="Arial"/>
        <family val="2"/>
      </rPr>
      <t>OSS_QL_T</t>
    </r>
    <r>
      <rPr>
        <sz val="11"/>
        <color theme="1"/>
        <rFont val="Arial"/>
        <family val="2"/>
      </rPr>
      <t xml:space="preserve"> =</t>
    </r>
    <phoneticPr fontId="25" type="noConversion"/>
  </si>
  <si>
    <r>
      <t>Input Current Pulse Rating, I</t>
    </r>
    <r>
      <rPr>
        <vertAlign val="subscript"/>
        <sz val="11"/>
        <color theme="1"/>
        <rFont val="Arial"/>
        <family val="2"/>
      </rPr>
      <t>QH_max</t>
    </r>
    <r>
      <rPr>
        <sz val="11"/>
        <color theme="1"/>
        <rFont val="Arial"/>
        <family val="2"/>
      </rPr>
      <t xml:space="preserve"> =</t>
    </r>
    <phoneticPr fontId="25" type="noConversion"/>
  </si>
  <si>
    <t>A</t>
    <phoneticPr fontId="25" type="noConversion"/>
  </si>
  <si>
    <r>
      <t>Drain to Source On-Resistance of High Side 
Selected MOSFET, R</t>
    </r>
    <r>
      <rPr>
        <vertAlign val="subscript"/>
        <sz val="11"/>
        <color theme="1"/>
        <rFont val="Arial"/>
        <family val="2"/>
      </rPr>
      <t xml:space="preserve">DSon_QL </t>
    </r>
    <r>
      <rPr>
        <sz val="11"/>
        <color theme="1"/>
        <rFont val="Arial"/>
        <family val="2"/>
      </rPr>
      <t>=</t>
    </r>
    <phoneticPr fontId="25" type="noConversion"/>
  </si>
  <si>
    <t>QH Parameter</t>
    <phoneticPr fontId="25" type="noConversion"/>
  </si>
  <si>
    <t>QL Parameter</t>
    <phoneticPr fontId="25" type="noConversion"/>
  </si>
  <si>
    <r>
      <t>Time related output capacitance, C</t>
    </r>
    <r>
      <rPr>
        <vertAlign val="subscript"/>
        <sz val="11"/>
        <color theme="1"/>
        <rFont val="Arial"/>
        <family val="2"/>
      </rPr>
      <t>oss_QH_T</t>
    </r>
    <r>
      <rPr>
        <sz val="11"/>
        <color theme="1"/>
        <rFont val="Arial"/>
        <family val="2"/>
      </rPr>
      <t>=</t>
    </r>
    <phoneticPr fontId="25" type="noConversion"/>
  </si>
  <si>
    <t>Set pin,SET</t>
    <phoneticPr fontId="25" type="noConversion"/>
  </si>
  <si>
    <t>at 150V</t>
    <phoneticPr fontId="25" type="noConversion"/>
  </si>
  <si>
    <t>V</t>
    <phoneticPr fontId="25" type="noConversion"/>
  </si>
  <si>
    <t>for SR use 0V</t>
    <phoneticPr fontId="25" type="noConversion"/>
  </si>
  <si>
    <t>A</t>
    <phoneticPr fontId="25" type="noConversion"/>
  </si>
  <si>
    <t>Optocoupler</t>
    <phoneticPr fontId="25" type="noConversion"/>
  </si>
  <si>
    <t>Part Number</t>
    <phoneticPr fontId="25" type="noConversion"/>
  </si>
  <si>
    <t>V</t>
    <phoneticPr fontId="25" type="noConversion"/>
  </si>
  <si>
    <t>Shunt Regulator</t>
    <phoneticPr fontId="25" type="noConversion"/>
  </si>
  <si>
    <t>Depletion FET</t>
    <phoneticPr fontId="25" type="noConversion"/>
  </si>
  <si>
    <t>nH</t>
    <phoneticPr fontId="25" type="noConversion"/>
  </si>
  <si>
    <t>Auxiliary Rectifier Diode</t>
    <phoneticPr fontId="25" type="noConversion"/>
  </si>
  <si>
    <t>at 150V</t>
    <phoneticPr fontId="25" type="noConversion"/>
  </si>
  <si>
    <t>µH</t>
  </si>
  <si>
    <t>pF</t>
    <phoneticPr fontId="25" type="noConversion"/>
  </si>
  <si>
    <t>A</t>
    <phoneticPr fontId="25" type="noConversion"/>
  </si>
  <si>
    <t>Hz</t>
    <phoneticPr fontId="25" type="noConversion"/>
  </si>
  <si>
    <t>µF</t>
    <phoneticPr fontId="25" type="noConversion"/>
  </si>
  <si>
    <t>µs</t>
    <phoneticPr fontId="25" type="noConversion"/>
  </si>
  <si>
    <r>
      <t>C</t>
    </r>
    <r>
      <rPr>
        <vertAlign val="subscript"/>
        <sz val="11"/>
        <color theme="1"/>
        <rFont val="Arial"/>
        <family val="2"/>
      </rPr>
      <t xml:space="preserve">clamp_rec </t>
    </r>
    <r>
      <rPr>
        <sz val="11"/>
        <color theme="1"/>
        <rFont val="Arial"/>
        <family val="2"/>
      </rPr>
      <t>=</t>
    </r>
    <phoneticPr fontId="25" type="noConversion"/>
  </si>
  <si>
    <r>
      <t>C</t>
    </r>
    <r>
      <rPr>
        <vertAlign val="subscript"/>
        <sz val="11"/>
        <color theme="1"/>
        <rFont val="Arial"/>
        <family val="2"/>
      </rPr>
      <t>clamp</t>
    </r>
    <r>
      <rPr>
        <sz val="11"/>
        <color theme="1"/>
        <rFont val="Arial"/>
        <family val="2"/>
      </rPr>
      <t xml:space="preserve"> =</t>
    </r>
    <phoneticPr fontId="25" type="noConversion"/>
  </si>
  <si>
    <r>
      <t>Minimum Cathode Current for Regulation, I</t>
    </r>
    <r>
      <rPr>
        <vertAlign val="subscript"/>
        <sz val="11"/>
        <color theme="1"/>
        <rFont val="Arial"/>
        <family val="2"/>
      </rPr>
      <t>KA_min</t>
    </r>
    <r>
      <rPr>
        <sz val="11"/>
        <color theme="1"/>
        <rFont val="Arial"/>
        <family val="2"/>
      </rPr>
      <t>=</t>
    </r>
    <phoneticPr fontId="25" type="noConversion"/>
  </si>
  <si>
    <r>
      <t>Reference Voltage, V</t>
    </r>
    <r>
      <rPr>
        <vertAlign val="subscript"/>
        <sz val="11"/>
        <color theme="1"/>
        <rFont val="Arial"/>
        <family val="2"/>
      </rPr>
      <t>ref_431</t>
    </r>
    <r>
      <rPr>
        <sz val="11"/>
        <color theme="1"/>
        <rFont val="Arial"/>
        <family val="2"/>
      </rPr>
      <t>=</t>
    </r>
    <phoneticPr fontId="25" type="noConversion"/>
  </si>
  <si>
    <r>
      <t>Output Capacitance, C</t>
    </r>
    <r>
      <rPr>
        <vertAlign val="subscript"/>
        <sz val="11"/>
        <color theme="1"/>
        <rFont val="Arial"/>
        <family val="2"/>
      </rPr>
      <t>OSS_Qs</t>
    </r>
    <r>
      <rPr>
        <sz val="11"/>
        <color theme="1"/>
        <rFont val="Arial"/>
        <family val="2"/>
      </rPr>
      <t>=</t>
    </r>
    <phoneticPr fontId="25" type="noConversion"/>
  </si>
  <si>
    <r>
      <t>Gate Source Voltage, V</t>
    </r>
    <r>
      <rPr>
        <vertAlign val="subscript"/>
        <sz val="11"/>
        <color theme="1"/>
        <rFont val="Arial"/>
        <family val="2"/>
      </rPr>
      <t>gs_Qs</t>
    </r>
    <r>
      <rPr>
        <sz val="11"/>
        <color theme="1"/>
        <rFont val="Arial"/>
        <family val="2"/>
      </rPr>
      <t>=</t>
    </r>
    <phoneticPr fontId="25" type="noConversion"/>
  </si>
  <si>
    <r>
      <t>Maximum Input Capacitance, C</t>
    </r>
    <r>
      <rPr>
        <vertAlign val="subscript"/>
        <sz val="11"/>
        <color theme="1"/>
        <rFont val="Arial"/>
        <family val="2"/>
      </rPr>
      <t>iss_Qs</t>
    </r>
    <r>
      <rPr>
        <sz val="11"/>
        <color theme="1"/>
        <rFont val="Arial"/>
        <family val="2"/>
      </rPr>
      <t>=</t>
    </r>
    <phoneticPr fontId="25" type="noConversion"/>
  </si>
  <si>
    <r>
      <t>Gate Threshold Voltage, V</t>
    </r>
    <r>
      <rPr>
        <vertAlign val="subscript"/>
        <sz val="11"/>
        <color theme="1"/>
        <rFont val="Arial"/>
        <family val="2"/>
      </rPr>
      <t>th_Qs</t>
    </r>
    <r>
      <rPr>
        <sz val="11"/>
        <color theme="1"/>
        <rFont val="Arial"/>
        <family val="2"/>
      </rPr>
      <t>=</t>
    </r>
    <phoneticPr fontId="25" type="noConversion"/>
  </si>
  <si>
    <r>
      <t>Time Related Output Capacitance, C</t>
    </r>
    <r>
      <rPr>
        <vertAlign val="subscript"/>
        <sz val="11"/>
        <color theme="1"/>
        <rFont val="Arial"/>
        <family val="2"/>
      </rPr>
      <t>Daux_T</t>
    </r>
    <r>
      <rPr>
        <sz val="11"/>
        <color theme="1"/>
        <rFont val="Arial"/>
        <family val="2"/>
      </rPr>
      <t>=</t>
    </r>
    <phoneticPr fontId="25" type="noConversion"/>
  </si>
  <si>
    <r>
      <t>Output Capacitance During High Voltage, C</t>
    </r>
    <r>
      <rPr>
        <vertAlign val="subscript"/>
        <sz val="11"/>
        <color theme="1"/>
        <rFont val="Arial"/>
        <family val="2"/>
      </rPr>
      <t>Daux_H</t>
    </r>
    <r>
      <rPr>
        <sz val="11"/>
        <color theme="1"/>
        <rFont val="Arial"/>
        <family val="2"/>
      </rPr>
      <t>=</t>
    </r>
    <phoneticPr fontId="25" type="noConversion"/>
  </si>
  <si>
    <r>
      <t>Forward Voltage, V</t>
    </r>
    <r>
      <rPr>
        <vertAlign val="subscript"/>
        <sz val="11"/>
        <color theme="1"/>
        <rFont val="Arial"/>
        <family val="2"/>
      </rPr>
      <t>f_Daux</t>
    </r>
    <r>
      <rPr>
        <sz val="11"/>
        <color theme="1"/>
        <rFont val="Arial"/>
        <family val="2"/>
      </rPr>
      <t>=</t>
    </r>
    <phoneticPr fontId="25" type="noConversion"/>
  </si>
  <si>
    <r>
      <t>Forward Rectified Current, I</t>
    </r>
    <r>
      <rPr>
        <vertAlign val="subscript"/>
        <sz val="11"/>
        <color theme="1"/>
        <rFont val="Arial"/>
        <family val="2"/>
      </rPr>
      <t>Daux_max</t>
    </r>
    <r>
      <rPr>
        <sz val="11"/>
        <color theme="1"/>
        <rFont val="Arial"/>
        <family val="2"/>
      </rPr>
      <t>=</t>
    </r>
    <phoneticPr fontId="25" type="noConversion"/>
  </si>
  <si>
    <t>µF</t>
    <phoneticPr fontId="25" type="noConversion"/>
  </si>
  <si>
    <r>
      <t>C</t>
    </r>
    <r>
      <rPr>
        <vertAlign val="subscript"/>
        <sz val="11"/>
        <color theme="1"/>
        <rFont val="Arial"/>
        <family val="2"/>
      </rPr>
      <t>clamp_act</t>
    </r>
    <r>
      <rPr>
        <sz val="11"/>
        <color theme="1"/>
        <rFont val="Arial"/>
        <family val="2"/>
      </rPr>
      <t xml:space="preserve"> =</t>
    </r>
    <phoneticPr fontId="25" type="noConversion"/>
  </si>
  <si>
    <r>
      <t>C</t>
    </r>
    <r>
      <rPr>
        <vertAlign val="subscript"/>
        <sz val="11"/>
        <color theme="1"/>
        <rFont val="Arial"/>
        <family val="2"/>
      </rPr>
      <t>Tr</t>
    </r>
    <r>
      <rPr>
        <sz val="11"/>
        <color theme="1"/>
        <rFont val="Arial"/>
        <family val="2"/>
      </rPr>
      <t xml:space="preserve"> =</t>
    </r>
    <phoneticPr fontId="25" type="noConversion"/>
  </si>
  <si>
    <r>
      <t>K</t>
    </r>
    <r>
      <rPr>
        <vertAlign val="subscript"/>
        <sz val="11"/>
        <color theme="1"/>
        <rFont val="Arial"/>
        <family val="2"/>
      </rPr>
      <t>TZ</t>
    </r>
    <r>
      <rPr>
        <sz val="11"/>
        <color theme="1"/>
        <rFont val="Arial"/>
        <family val="2"/>
      </rPr>
      <t xml:space="preserve"> =</t>
    </r>
    <phoneticPr fontId="25" type="noConversion"/>
  </si>
  <si>
    <r>
      <t>C</t>
    </r>
    <r>
      <rPr>
        <vertAlign val="subscript"/>
        <sz val="11"/>
        <color theme="1"/>
        <rFont val="Arial"/>
        <family val="2"/>
      </rPr>
      <t>BootD_T</t>
    </r>
    <r>
      <rPr>
        <sz val="11"/>
        <color theme="1"/>
        <rFont val="Arial"/>
        <family val="2"/>
      </rPr>
      <t xml:space="preserve"> =</t>
    </r>
    <phoneticPr fontId="25" type="noConversion"/>
  </si>
  <si>
    <t>pF</t>
    <phoneticPr fontId="25" type="noConversion"/>
  </si>
  <si>
    <r>
      <t>C</t>
    </r>
    <r>
      <rPr>
        <vertAlign val="subscript"/>
        <sz val="11"/>
        <color theme="1"/>
        <rFont val="Arial"/>
        <family val="2"/>
      </rPr>
      <t xml:space="preserve">OSS_Qs </t>
    </r>
    <r>
      <rPr>
        <sz val="11"/>
        <color theme="1"/>
        <rFont val="Arial"/>
        <family val="2"/>
      </rPr>
      <t>=</t>
    </r>
    <phoneticPr fontId="25" type="noConversion"/>
  </si>
  <si>
    <r>
      <t>C</t>
    </r>
    <r>
      <rPr>
        <vertAlign val="subscript"/>
        <sz val="11"/>
        <color theme="1"/>
        <rFont val="Arial"/>
        <family val="2"/>
      </rPr>
      <t xml:space="preserve">reflect </t>
    </r>
    <r>
      <rPr>
        <sz val="11"/>
        <color theme="1"/>
        <rFont val="Arial"/>
        <family val="2"/>
      </rPr>
      <t>=</t>
    </r>
    <phoneticPr fontId="25" type="noConversion"/>
  </si>
  <si>
    <t>Resistor Divider of VS Pin</t>
    <phoneticPr fontId="25" type="noConversion"/>
  </si>
  <si>
    <t>UCC28780 Electrical Characteristic</t>
    <phoneticPr fontId="25" type="noConversion"/>
  </si>
  <si>
    <r>
      <t>R</t>
    </r>
    <r>
      <rPr>
        <vertAlign val="subscript"/>
        <sz val="11"/>
        <color theme="1"/>
        <rFont val="Arial"/>
        <family val="2"/>
      </rPr>
      <t>VS1_rec</t>
    </r>
    <r>
      <rPr>
        <sz val="11"/>
        <color theme="1"/>
        <rFont val="Arial"/>
        <family val="2"/>
      </rPr>
      <t xml:space="preserve"> =</t>
    </r>
    <phoneticPr fontId="25" type="noConversion"/>
  </si>
  <si>
    <r>
      <t>R</t>
    </r>
    <r>
      <rPr>
        <vertAlign val="subscript"/>
        <sz val="11"/>
        <color theme="1"/>
        <rFont val="Arial"/>
        <family val="2"/>
      </rPr>
      <t>VS1_act</t>
    </r>
    <r>
      <rPr>
        <sz val="11"/>
        <color theme="1"/>
        <rFont val="Arial"/>
        <family val="2"/>
      </rPr>
      <t xml:space="preserve"> =</t>
    </r>
    <phoneticPr fontId="25" type="noConversion"/>
  </si>
  <si>
    <r>
      <t>R</t>
    </r>
    <r>
      <rPr>
        <vertAlign val="subscript"/>
        <sz val="11"/>
        <color theme="1"/>
        <rFont val="Arial"/>
        <family val="2"/>
      </rPr>
      <t>VS1</t>
    </r>
    <r>
      <rPr>
        <sz val="11"/>
        <color theme="1"/>
        <rFont val="Arial"/>
        <family val="2"/>
      </rPr>
      <t xml:space="preserve"> =</t>
    </r>
    <phoneticPr fontId="25" type="noConversion"/>
  </si>
  <si>
    <r>
      <t>R</t>
    </r>
    <r>
      <rPr>
        <vertAlign val="subscript"/>
        <sz val="11"/>
        <color theme="1"/>
        <rFont val="Arial"/>
        <family val="2"/>
      </rPr>
      <t>VS2_rec</t>
    </r>
    <r>
      <rPr>
        <sz val="11"/>
        <color theme="1"/>
        <rFont val="Arial"/>
        <family val="2"/>
      </rPr>
      <t xml:space="preserve"> =</t>
    </r>
    <phoneticPr fontId="25" type="noConversion"/>
  </si>
  <si>
    <t>Ω</t>
    <phoneticPr fontId="25" type="noConversion"/>
  </si>
  <si>
    <r>
      <t>R</t>
    </r>
    <r>
      <rPr>
        <vertAlign val="subscript"/>
        <sz val="11"/>
        <color theme="1"/>
        <rFont val="Arial"/>
        <family val="2"/>
      </rPr>
      <t>VS2_act</t>
    </r>
    <r>
      <rPr>
        <sz val="11"/>
        <color theme="1"/>
        <rFont val="Arial"/>
        <family val="2"/>
      </rPr>
      <t xml:space="preserve"> =</t>
    </r>
    <phoneticPr fontId="25" type="noConversion"/>
  </si>
  <si>
    <r>
      <t>R</t>
    </r>
    <r>
      <rPr>
        <vertAlign val="subscript"/>
        <sz val="11"/>
        <color theme="1"/>
        <rFont val="Arial"/>
        <family val="2"/>
      </rPr>
      <t>VS2</t>
    </r>
    <r>
      <rPr>
        <sz val="11"/>
        <color theme="1"/>
        <rFont val="Arial"/>
        <family val="2"/>
      </rPr>
      <t xml:space="preserve"> =</t>
    </r>
    <phoneticPr fontId="25" type="noConversion"/>
  </si>
  <si>
    <r>
      <t>Current Sense Resistor, R</t>
    </r>
    <r>
      <rPr>
        <b/>
        <i/>
        <vertAlign val="subscript"/>
        <sz val="12"/>
        <color theme="0"/>
        <rFont val="Arial"/>
        <family val="2"/>
      </rPr>
      <t>CS</t>
    </r>
    <phoneticPr fontId="25" type="noConversion"/>
  </si>
  <si>
    <t>ns</t>
    <phoneticPr fontId="25" type="noConversion"/>
  </si>
  <si>
    <t>ns</t>
    <phoneticPr fontId="25" type="noConversion"/>
  </si>
  <si>
    <r>
      <t>I</t>
    </r>
    <r>
      <rPr>
        <vertAlign val="subscript"/>
        <sz val="11"/>
        <color theme="1"/>
        <rFont val="Arial"/>
        <family val="2"/>
      </rPr>
      <t xml:space="preserve">M_nega_run </t>
    </r>
    <r>
      <rPr>
        <sz val="11"/>
        <color theme="1"/>
        <rFont val="Arial"/>
        <family val="2"/>
      </rPr>
      <t>=</t>
    </r>
    <phoneticPr fontId="25" type="noConversion"/>
  </si>
  <si>
    <r>
      <t>I</t>
    </r>
    <r>
      <rPr>
        <vertAlign val="subscript"/>
        <sz val="11"/>
        <color theme="1"/>
        <rFont val="Arial"/>
        <family val="2"/>
      </rPr>
      <t xml:space="preserve">IN_OPP_run </t>
    </r>
    <r>
      <rPr>
        <sz val="11"/>
        <color theme="1"/>
        <rFont val="Arial"/>
        <family val="2"/>
      </rPr>
      <t>=</t>
    </r>
    <phoneticPr fontId="25" type="noConversion"/>
  </si>
  <si>
    <r>
      <t>f</t>
    </r>
    <r>
      <rPr>
        <vertAlign val="subscript"/>
        <sz val="11"/>
        <color theme="1"/>
        <rFont val="Arial"/>
        <family val="2"/>
      </rPr>
      <t xml:space="preserve">sw_OPP_run </t>
    </r>
    <r>
      <rPr>
        <sz val="11"/>
        <color theme="1"/>
        <rFont val="Arial"/>
        <family val="2"/>
      </rPr>
      <t>=</t>
    </r>
    <phoneticPr fontId="25" type="noConversion"/>
  </si>
  <si>
    <r>
      <t>f</t>
    </r>
    <r>
      <rPr>
        <vertAlign val="subscript"/>
        <sz val="11"/>
        <color theme="1"/>
        <rFont val="Arial"/>
        <family val="2"/>
      </rPr>
      <t xml:space="preserve">sw_OPP_min </t>
    </r>
    <r>
      <rPr>
        <sz val="11"/>
        <color theme="1"/>
        <rFont val="Arial"/>
        <family val="2"/>
      </rPr>
      <t>=</t>
    </r>
    <phoneticPr fontId="25" type="noConversion"/>
  </si>
  <si>
    <r>
      <t>I</t>
    </r>
    <r>
      <rPr>
        <vertAlign val="subscript"/>
        <sz val="11"/>
        <color theme="1"/>
        <rFont val="Arial"/>
        <family val="2"/>
      </rPr>
      <t xml:space="preserve">IN_OPP_min </t>
    </r>
    <r>
      <rPr>
        <sz val="11"/>
        <color theme="1"/>
        <rFont val="Arial"/>
        <family val="2"/>
      </rPr>
      <t>=</t>
    </r>
    <phoneticPr fontId="25" type="noConversion"/>
  </si>
  <si>
    <r>
      <t xml:space="preserve"> D</t>
    </r>
    <r>
      <rPr>
        <vertAlign val="subscript"/>
        <sz val="11"/>
        <color theme="1"/>
        <rFont val="Arial"/>
        <family val="2"/>
      </rPr>
      <t xml:space="preserve">OPP_run </t>
    </r>
    <r>
      <rPr>
        <sz val="11"/>
        <color theme="1"/>
        <rFont val="Arial"/>
        <family val="2"/>
      </rPr>
      <t>=</t>
    </r>
    <phoneticPr fontId="25" type="noConversion"/>
  </si>
  <si>
    <r>
      <t xml:space="preserve"> D</t>
    </r>
    <r>
      <rPr>
        <vertAlign val="subscript"/>
        <sz val="11"/>
        <color theme="1"/>
        <rFont val="Arial"/>
        <family val="2"/>
      </rPr>
      <t xml:space="preserve">OPP_min </t>
    </r>
    <r>
      <rPr>
        <sz val="11"/>
        <color theme="1"/>
        <rFont val="Arial"/>
        <family val="2"/>
      </rPr>
      <t>=</t>
    </r>
    <phoneticPr fontId="25" type="noConversion"/>
  </si>
  <si>
    <r>
      <t>T</t>
    </r>
    <r>
      <rPr>
        <vertAlign val="subscript"/>
        <sz val="11"/>
        <color theme="1"/>
        <rFont val="Arial"/>
        <family val="2"/>
      </rPr>
      <t>_on_min</t>
    </r>
    <r>
      <rPr>
        <sz val="11"/>
        <color theme="1"/>
        <rFont val="Arial"/>
        <family val="2"/>
      </rPr>
      <t xml:space="preserve"> =</t>
    </r>
    <phoneticPr fontId="25" type="noConversion"/>
  </si>
  <si>
    <t>pF</t>
    <phoneticPr fontId="25" type="noConversion"/>
  </si>
  <si>
    <t>V</t>
    <phoneticPr fontId="25" type="noConversion"/>
  </si>
  <si>
    <r>
      <t>t</t>
    </r>
    <r>
      <rPr>
        <vertAlign val="subscript"/>
        <sz val="11"/>
        <color theme="1"/>
        <rFont val="Arial"/>
        <family val="2"/>
      </rPr>
      <t>D_CST</t>
    </r>
    <r>
      <rPr>
        <sz val="11"/>
        <color theme="1"/>
        <rFont val="Arial"/>
        <family val="2"/>
      </rPr>
      <t xml:space="preserve"> =</t>
    </r>
    <phoneticPr fontId="25" type="noConversion"/>
  </si>
  <si>
    <t>ns</t>
    <phoneticPr fontId="25" type="noConversion"/>
  </si>
  <si>
    <r>
      <t>R</t>
    </r>
    <r>
      <rPr>
        <vertAlign val="subscript"/>
        <sz val="11"/>
        <color theme="1"/>
        <rFont val="Arial"/>
        <family val="2"/>
      </rPr>
      <t xml:space="preserve">CS_rec </t>
    </r>
    <r>
      <rPr>
        <sz val="11"/>
        <color theme="1"/>
        <rFont val="Arial"/>
        <family val="2"/>
      </rPr>
      <t>=</t>
    </r>
    <phoneticPr fontId="25" type="noConversion"/>
  </si>
  <si>
    <r>
      <t>R</t>
    </r>
    <r>
      <rPr>
        <vertAlign val="subscript"/>
        <sz val="11"/>
        <color theme="1"/>
        <rFont val="Arial"/>
        <family val="2"/>
      </rPr>
      <t xml:space="preserve">CS </t>
    </r>
    <r>
      <rPr>
        <sz val="11"/>
        <color theme="1"/>
        <rFont val="Arial"/>
        <family val="2"/>
      </rPr>
      <t>=</t>
    </r>
    <phoneticPr fontId="25" type="noConversion"/>
  </si>
  <si>
    <r>
      <t>R</t>
    </r>
    <r>
      <rPr>
        <vertAlign val="subscript"/>
        <sz val="11"/>
        <color theme="1"/>
        <rFont val="Arial"/>
        <family val="2"/>
      </rPr>
      <t xml:space="preserve">CS_act </t>
    </r>
    <r>
      <rPr>
        <sz val="11"/>
        <color theme="1"/>
        <rFont val="Arial"/>
        <family val="2"/>
      </rPr>
      <t>=</t>
    </r>
    <phoneticPr fontId="25" type="noConversion"/>
  </si>
  <si>
    <r>
      <t>Negative Magnetizing Inductor Current at Run, I</t>
    </r>
    <r>
      <rPr>
        <vertAlign val="subscript"/>
        <sz val="11"/>
        <color theme="1"/>
        <rFont val="Arial"/>
        <family val="2"/>
      </rPr>
      <t xml:space="preserve">M_nega_run </t>
    </r>
    <r>
      <rPr>
        <sz val="11"/>
        <color theme="1"/>
        <rFont val="Arial"/>
        <family val="2"/>
      </rPr>
      <t>=</t>
    </r>
    <phoneticPr fontId="25" type="noConversion"/>
  </si>
  <si>
    <r>
      <t>Switching Frequency During OPP at Run, f</t>
    </r>
    <r>
      <rPr>
        <vertAlign val="subscript"/>
        <sz val="11"/>
        <color theme="1"/>
        <rFont val="Arial"/>
        <family val="2"/>
      </rPr>
      <t xml:space="preserve">sw_OPP_run </t>
    </r>
    <r>
      <rPr>
        <sz val="11"/>
        <color theme="1"/>
        <rFont val="Arial"/>
        <family val="2"/>
      </rPr>
      <t>=</t>
    </r>
    <phoneticPr fontId="25" type="noConversion"/>
  </si>
  <si>
    <r>
      <t>Turn on Period During Minimum Input Voltage, T</t>
    </r>
    <r>
      <rPr>
        <vertAlign val="subscript"/>
        <sz val="11"/>
        <color theme="1"/>
        <rFont val="Arial"/>
        <family val="2"/>
      </rPr>
      <t>_on_min</t>
    </r>
    <r>
      <rPr>
        <sz val="11"/>
        <color theme="1"/>
        <rFont val="Arial"/>
        <family val="2"/>
      </rPr>
      <t xml:space="preserve"> =</t>
    </r>
    <phoneticPr fontId="25" type="noConversion"/>
  </si>
  <si>
    <r>
      <t>Switching Frequency During OPP at Min, f</t>
    </r>
    <r>
      <rPr>
        <vertAlign val="subscript"/>
        <sz val="11"/>
        <color theme="1"/>
        <rFont val="Arial"/>
        <family val="2"/>
      </rPr>
      <t xml:space="preserve">sw_OPP_min </t>
    </r>
    <r>
      <rPr>
        <sz val="11"/>
        <color theme="1"/>
        <rFont val="Arial"/>
        <family val="2"/>
      </rPr>
      <t>=</t>
    </r>
    <phoneticPr fontId="25" type="noConversion"/>
  </si>
  <si>
    <r>
      <t>OPP Input Current at Run Input, I</t>
    </r>
    <r>
      <rPr>
        <vertAlign val="subscript"/>
        <sz val="11"/>
        <color theme="1"/>
        <rFont val="Arial"/>
        <family val="2"/>
      </rPr>
      <t xml:space="preserve">IN_OPP_run </t>
    </r>
    <r>
      <rPr>
        <sz val="11"/>
        <color theme="1"/>
        <rFont val="Arial"/>
        <family val="2"/>
      </rPr>
      <t>=</t>
    </r>
    <phoneticPr fontId="25" type="noConversion"/>
  </si>
  <si>
    <r>
      <t>OPP Input Current at Min Input, I</t>
    </r>
    <r>
      <rPr>
        <vertAlign val="subscript"/>
        <sz val="11"/>
        <color theme="1"/>
        <rFont val="Arial"/>
        <family val="2"/>
      </rPr>
      <t xml:space="preserve">IN_OPP_min </t>
    </r>
    <r>
      <rPr>
        <sz val="11"/>
        <color theme="1"/>
        <rFont val="Arial"/>
        <family val="2"/>
      </rPr>
      <t>=</t>
    </r>
    <phoneticPr fontId="25" type="noConversion"/>
  </si>
  <si>
    <r>
      <t>Sum of Peak Current Loop Delay, t</t>
    </r>
    <r>
      <rPr>
        <vertAlign val="subscript"/>
        <sz val="11"/>
        <color theme="1"/>
        <rFont val="Arial"/>
        <family val="2"/>
      </rPr>
      <t>D_CST</t>
    </r>
    <r>
      <rPr>
        <sz val="11"/>
        <color theme="1"/>
        <rFont val="Arial"/>
        <family val="2"/>
      </rPr>
      <t xml:space="preserve"> =</t>
    </r>
    <phoneticPr fontId="25" type="noConversion"/>
  </si>
  <si>
    <r>
      <t>C</t>
    </r>
    <r>
      <rPr>
        <vertAlign val="subscript"/>
        <sz val="11"/>
        <color theme="1"/>
        <rFont val="Arial"/>
        <family val="2"/>
      </rPr>
      <t>SW_0toVxl</t>
    </r>
    <r>
      <rPr>
        <sz val="11"/>
        <color theme="1"/>
        <rFont val="Arial"/>
        <family val="2"/>
      </rPr>
      <t xml:space="preserve"> =</t>
    </r>
    <phoneticPr fontId="25" type="noConversion"/>
  </si>
  <si>
    <r>
      <t>Switching Node Capacitance from 0 to V</t>
    </r>
    <r>
      <rPr>
        <vertAlign val="subscript"/>
        <sz val="11"/>
        <color theme="1"/>
        <rFont val="Arial"/>
        <family val="2"/>
      </rPr>
      <t>Xl</t>
    </r>
    <r>
      <rPr>
        <sz val="11"/>
        <color theme="1"/>
        <rFont val="Arial"/>
        <family val="2"/>
      </rPr>
      <t>, C</t>
    </r>
    <r>
      <rPr>
        <vertAlign val="subscript"/>
        <sz val="11"/>
        <color theme="1"/>
        <rFont val="Arial"/>
        <family val="2"/>
      </rPr>
      <t>SW_0toVxl</t>
    </r>
    <r>
      <rPr>
        <sz val="11"/>
        <color theme="1"/>
        <rFont val="Arial"/>
        <family val="2"/>
      </rPr>
      <t xml:space="preserve"> =</t>
    </r>
    <phoneticPr fontId="25" type="noConversion"/>
  </si>
  <si>
    <t>OPP Programming Resistor</t>
    <phoneticPr fontId="25" type="noConversion"/>
  </si>
  <si>
    <r>
      <t>I</t>
    </r>
    <r>
      <rPr>
        <vertAlign val="subscript"/>
        <sz val="11"/>
        <color theme="1"/>
        <rFont val="Arial"/>
        <family val="2"/>
      </rPr>
      <t xml:space="preserve">M_nega_max </t>
    </r>
    <r>
      <rPr>
        <sz val="11"/>
        <color theme="1"/>
        <rFont val="Arial"/>
        <family val="2"/>
      </rPr>
      <t>=</t>
    </r>
    <phoneticPr fontId="25" type="noConversion"/>
  </si>
  <si>
    <r>
      <t>Negative Magnetizing Inductor Current at Max, I</t>
    </r>
    <r>
      <rPr>
        <vertAlign val="subscript"/>
        <sz val="11"/>
        <color theme="1"/>
        <rFont val="Arial"/>
        <family val="2"/>
      </rPr>
      <t xml:space="preserve">M_nega_max </t>
    </r>
    <r>
      <rPr>
        <sz val="11"/>
        <color theme="1"/>
        <rFont val="Arial"/>
        <family val="2"/>
      </rPr>
      <t>=</t>
    </r>
    <phoneticPr fontId="25" type="noConversion"/>
  </si>
  <si>
    <r>
      <t>Switching Frequency During OPP at Max, f</t>
    </r>
    <r>
      <rPr>
        <vertAlign val="subscript"/>
        <sz val="11"/>
        <color theme="1"/>
        <rFont val="Arial"/>
        <family val="2"/>
      </rPr>
      <t xml:space="preserve">sw_OPP_min </t>
    </r>
    <r>
      <rPr>
        <sz val="11"/>
        <color theme="1"/>
        <rFont val="Arial"/>
        <family val="2"/>
      </rPr>
      <t>=</t>
    </r>
    <phoneticPr fontId="25" type="noConversion"/>
  </si>
  <si>
    <r>
      <t>f</t>
    </r>
    <r>
      <rPr>
        <vertAlign val="subscript"/>
        <sz val="11"/>
        <color theme="1"/>
        <rFont val="Arial"/>
        <family val="2"/>
      </rPr>
      <t xml:space="preserve">sw_OPP_max </t>
    </r>
    <r>
      <rPr>
        <sz val="11"/>
        <color theme="1"/>
        <rFont val="Arial"/>
        <family val="2"/>
      </rPr>
      <t>=</t>
    </r>
    <phoneticPr fontId="25" type="noConversion"/>
  </si>
  <si>
    <r>
      <t xml:space="preserve"> D</t>
    </r>
    <r>
      <rPr>
        <vertAlign val="subscript"/>
        <sz val="11"/>
        <color theme="1"/>
        <rFont val="Arial"/>
        <family val="2"/>
      </rPr>
      <t xml:space="preserve">OPP_max </t>
    </r>
    <r>
      <rPr>
        <sz val="11"/>
        <color theme="1"/>
        <rFont val="Arial"/>
        <family val="2"/>
      </rPr>
      <t>=</t>
    </r>
    <phoneticPr fontId="25" type="noConversion"/>
  </si>
  <si>
    <r>
      <t>OPP Input Current at Max Input, I</t>
    </r>
    <r>
      <rPr>
        <vertAlign val="subscript"/>
        <sz val="11"/>
        <color theme="1"/>
        <rFont val="Arial"/>
        <family val="2"/>
      </rPr>
      <t xml:space="preserve">IN_OPP_max </t>
    </r>
    <r>
      <rPr>
        <sz val="11"/>
        <color theme="1"/>
        <rFont val="Arial"/>
        <family val="2"/>
      </rPr>
      <t>=</t>
    </r>
    <phoneticPr fontId="25" type="noConversion"/>
  </si>
  <si>
    <r>
      <t>I</t>
    </r>
    <r>
      <rPr>
        <vertAlign val="subscript"/>
        <sz val="11"/>
        <color theme="1"/>
        <rFont val="Arial"/>
        <family val="2"/>
      </rPr>
      <t xml:space="preserve">IN_OPP_max </t>
    </r>
    <r>
      <rPr>
        <sz val="11"/>
        <color theme="1"/>
        <rFont val="Arial"/>
        <family val="2"/>
      </rPr>
      <t>=</t>
    </r>
    <phoneticPr fontId="25" type="noConversion"/>
  </si>
  <si>
    <r>
      <t>C</t>
    </r>
    <r>
      <rPr>
        <vertAlign val="subscript"/>
        <sz val="11"/>
        <color theme="1"/>
        <rFont val="Arial"/>
        <family val="2"/>
      </rPr>
      <t xml:space="preserve">SW_T_nor </t>
    </r>
    <r>
      <rPr>
        <sz val="11"/>
        <color theme="1"/>
        <rFont val="Arial"/>
        <family val="2"/>
      </rPr>
      <t>=</t>
    </r>
    <phoneticPr fontId="25" type="noConversion"/>
  </si>
  <si>
    <r>
      <t>V</t>
    </r>
    <r>
      <rPr>
        <vertAlign val="subscript"/>
        <sz val="11"/>
        <color theme="1"/>
        <rFont val="Arial"/>
        <family val="2"/>
      </rPr>
      <t xml:space="preserve">offset_CS_OPP </t>
    </r>
    <r>
      <rPr>
        <sz val="11"/>
        <color theme="1"/>
        <rFont val="Arial"/>
        <family val="2"/>
      </rPr>
      <t>=</t>
    </r>
    <phoneticPr fontId="25" type="noConversion"/>
  </si>
  <si>
    <r>
      <t>V</t>
    </r>
    <r>
      <rPr>
        <vertAlign val="subscript"/>
        <sz val="11"/>
        <color theme="1"/>
        <rFont val="Arial"/>
        <family val="2"/>
      </rPr>
      <t>R_pri_max</t>
    </r>
    <r>
      <rPr>
        <sz val="11"/>
        <color theme="1"/>
        <rFont val="Arial"/>
        <family val="2"/>
      </rPr>
      <t xml:space="preserve"> =</t>
    </r>
    <phoneticPr fontId="25" type="noConversion"/>
  </si>
  <si>
    <r>
      <t>V</t>
    </r>
    <r>
      <rPr>
        <vertAlign val="subscript"/>
        <sz val="11"/>
        <color theme="1"/>
        <rFont val="Arial"/>
        <family val="2"/>
      </rPr>
      <t>Lk_pri_max</t>
    </r>
    <r>
      <rPr>
        <sz val="11"/>
        <color theme="1"/>
        <rFont val="Arial"/>
        <family val="2"/>
      </rPr>
      <t xml:space="preserve"> =</t>
    </r>
    <phoneticPr fontId="25" type="noConversion"/>
  </si>
  <si>
    <r>
      <t>R</t>
    </r>
    <r>
      <rPr>
        <vertAlign val="subscript"/>
        <sz val="11"/>
        <color theme="1"/>
        <rFont val="Arial"/>
        <family val="2"/>
      </rPr>
      <t>_OPP_rec</t>
    </r>
    <r>
      <rPr>
        <sz val="11"/>
        <color theme="1"/>
        <rFont val="Arial"/>
        <family val="2"/>
      </rPr>
      <t xml:space="preserve"> =</t>
    </r>
    <phoneticPr fontId="25" type="noConversion"/>
  </si>
  <si>
    <t>mA</t>
    <phoneticPr fontId="25" type="noConversion"/>
  </si>
  <si>
    <r>
      <t>R</t>
    </r>
    <r>
      <rPr>
        <vertAlign val="subscript"/>
        <sz val="11"/>
        <color theme="1"/>
        <rFont val="Arial"/>
        <family val="2"/>
      </rPr>
      <t>_OPP_act</t>
    </r>
    <r>
      <rPr>
        <sz val="11"/>
        <color theme="1"/>
        <rFont val="Arial"/>
        <family val="2"/>
      </rPr>
      <t xml:space="preserve"> =</t>
    </r>
    <phoneticPr fontId="25" type="noConversion"/>
  </si>
  <si>
    <r>
      <t>Offset Voltage on CS Pin During OPP at Max Input, V</t>
    </r>
    <r>
      <rPr>
        <vertAlign val="subscript"/>
        <sz val="11"/>
        <color theme="1"/>
        <rFont val="Arial"/>
        <family val="2"/>
      </rPr>
      <t>offset_CS_OPP</t>
    </r>
    <r>
      <rPr>
        <sz val="11"/>
        <color theme="1"/>
        <rFont val="Arial"/>
        <family val="2"/>
      </rPr>
      <t xml:space="preserve"> =</t>
    </r>
    <phoneticPr fontId="25" type="noConversion"/>
  </si>
  <si>
    <r>
      <t>Voltage on Primary Resistance, V</t>
    </r>
    <r>
      <rPr>
        <vertAlign val="subscript"/>
        <sz val="11"/>
        <color theme="1"/>
        <rFont val="Arial"/>
        <family val="2"/>
      </rPr>
      <t xml:space="preserve">R_pri_max </t>
    </r>
    <r>
      <rPr>
        <sz val="11"/>
        <color theme="1"/>
        <rFont val="Arial"/>
        <family val="2"/>
      </rPr>
      <t>=</t>
    </r>
    <phoneticPr fontId="25" type="noConversion"/>
  </si>
  <si>
    <r>
      <t>C</t>
    </r>
    <r>
      <rPr>
        <vertAlign val="subscript"/>
        <sz val="11"/>
        <color theme="1"/>
        <rFont val="Arial"/>
        <family val="2"/>
      </rPr>
      <t xml:space="preserve">CS_act </t>
    </r>
    <r>
      <rPr>
        <sz val="11"/>
        <color theme="1"/>
        <rFont val="Arial"/>
        <family val="2"/>
      </rPr>
      <t>=</t>
    </r>
    <phoneticPr fontId="25" type="noConversion"/>
  </si>
  <si>
    <t>RDM Pin Setting</t>
    <phoneticPr fontId="25" type="noConversion"/>
  </si>
  <si>
    <r>
      <t>R</t>
    </r>
    <r>
      <rPr>
        <vertAlign val="subscript"/>
        <sz val="11"/>
        <color theme="1"/>
        <rFont val="Arial"/>
        <family val="2"/>
      </rPr>
      <t>DM_rec</t>
    </r>
    <r>
      <rPr>
        <sz val="11"/>
        <color theme="1"/>
        <rFont val="Arial"/>
        <family val="2"/>
      </rPr>
      <t xml:space="preserve"> =</t>
    </r>
    <phoneticPr fontId="25" type="noConversion"/>
  </si>
  <si>
    <r>
      <t>R</t>
    </r>
    <r>
      <rPr>
        <vertAlign val="subscript"/>
        <sz val="11"/>
        <color theme="1"/>
        <rFont val="Arial"/>
        <family val="2"/>
      </rPr>
      <t>DM</t>
    </r>
    <r>
      <rPr>
        <sz val="11"/>
        <color theme="1"/>
        <rFont val="Arial"/>
        <family val="2"/>
      </rPr>
      <t xml:space="preserve"> =</t>
    </r>
    <phoneticPr fontId="25" type="noConversion"/>
  </si>
  <si>
    <r>
      <t>R</t>
    </r>
    <r>
      <rPr>
        <vertAlign val="subscript"/>
        <sz val="11"/>
        <color theme="1"/>
        <rFont val="Arial"/>
        <family val="2"/>
      </rPr>
      <t>DM_act</t>
    </r>
    <r>
      <rPr>
        <sz val="11"/>
        <color theme="1"/>
        <rFont val="Arial"/>
        <family val="2"/>
      </rPr>
      <t xml:space="preserve"> =</t>
    </r>
    <phoneticPr fontId="25" type="noConversion"/>
  </si>
  <si>
    <t>RTZ Pin Setting</t>
    <phoneticPr fontId="25" type="noConversion"/>
  </si>
  <si>
    <t>Clamp Capacitance</t>
    <phoneticPr fontId="25" type="noConversion"/>
  </si>
  <si>
    <t>ns</t>
    <phoneticPr fontId="25" type="noConversion"/>
  </si>
  <si>
    <r>
      <t>R</t>
    </r>
    <r>
      <rPr>
        <vertAlign val="subscript"/>
        <sz val="11"/>
        <color theme="1"/>
        <rFont val="Arial"/>
        <family val="2"/>
      </rPr>
      <t>TZ_rec</t>
    </r>
    <r>
      <rPr>
        <sz val="11"/>
        <color theme="1"/>
        <rFont val="Arial"/>
        <family val="2"/>
      </rPr>
      <t xml:space="preserve"> =</t>
    </r>
    <phoneticPr fontId="25" type="noConversion"/>
  </si>
  <si>
    <r>
      <t>T</t>
    </r>
    <r>
      <rPr>
        <vertAlign val="subscript"/>
        <sz val="11"/>
        <color theme="1"/>
        <rFont val="Arial"/>
        <family val="2"/>
      </rPr>
      <t>Z_min</t>
    </r>
    <r>
      <rPr>
        <sz val="11"/>
        <color theme="1"/>
        <rFont val="Arial"/>
        <family val="2"/>
      </rPr>
      <t xml:space="preserve"> =</t>
    </r>
    <phoneticPr fontId="25" type="noConversion"/>
  </si>
  <si>
    <r>
      <t>R</t>
    </r>
    <r>
      <rPr>
        <vertAlign val="subscript"/>
        <sz val="11"/>
        <color theme="1"/>
        <rFont val="Arial"/>
        <family val="2"/>
      </rPr>
      <t>TZ_act</t>
    </r>
    <r>
      <rPr>
        <sz val="11"/>
        <color theme="1"/>
        <rFont val="Arial"/>
        <family val="2"/>
      </rPr>
      <t xml:space="preserve"> =</t>
    </r>
    <phoneticPr fontId="25" type="noConversion"/>
  </si>
  <si>
    <r>
      <t>R</t>
    </r>
    <r>
      <rPr>
        <vertAlign val="subscript"/>
        <sz val="11"/>
        <color theme="1"/>
        <rFont val="Arial"/>
        <family val="2"/>
      </rPr>
      <t>TZ</t>
    </r>
    <r>
      <rPr>
        <sz val="11"/>
        <color theme="1"/>
        <rFont val="Arial"/>
        <family val="2"/>
      </rPr>
      <t xml:space="preserve"> =</t>
    </r>
    <phoneticPr fontId="25" type="noConversion"/>
  </si>
  <si>
    <t>BUR Pin Setting</t>
    <phoneticPr fontId="25" type="noConversion"/>
  </si>
  <si>
    <r>
      <t xml:space="preserve"> i</t>
    </r>
    <r>
      <rPr>
        <vertAlign val="subscript"/>
        <sz val="11"/>
        <color theme="1"/>
        <rFont val="Arial"/>
        <family val="2"/>
      </rPr>
      <t>pk_BUR</t>
    </r>
    <r>
      <rPr>
        <sz val="11"/>
        <color theme="1"/>
        <rFont val="Arial"/>
        <family val="2"/>
      </rPr>
      <t xml:space="preserve"> =</t>
    </r>
    <phoneticPr fontId="25" type="noConversion"/>
  </si>
  <si>
    <r>
      <t>I</t>
    </r>
    <r>
      <rPr>
        <vertAlign val="subscript"/>
        <sz val="11"/>
        <color theme="1"/>
        <rFont val="Arial"/>
        <family val="2"/>
      </rPr>
      <t xml:space="preserve">M_nega_BUR </t>
    </r>
    <r>
      <rPr>
        <sz val="11"/>
        <color theme="1"/>
        <rFont val="Arial"/>
        <family val="2"/>
      </rPr>
      <t>=</t>
    </r>
    <phoneticPr fontId="25" type="noConversion"/>
  </si>
  <si>
    <r>
      <t>f</t>
    </r>
    <r>
      <rPr>
        <vertAlign val="subscript"/>
        <sz val="11"/>
        <color theme="1"/>
        <rFont val="Arial"/>
        <family val="2"/>
      </rPr>
      <t xml:space="preserve">sw_BUR </t>
    </r>
    <r>
      <rPr>
        <sz val="11"/>
        <color theme="1"/>
        <rFont val="Arial"/>
        <family val="2"/>
      </rPr>
      <t>=</t>
    </r>
    <phoneticPr fontId="25" type="noConversion"/>
  </si>
  <si>
    <r>
      <t xml:space="preserve"> D</t>
    </r>
    <r>
      <rPr>
        <vertAlign val="subscript"/>
        <sz val="11"/>
        <color theme="1"/>
        <rFont val="Arial"/>
        <family val="2"/>
      </rPr>
      <t xml:space="preserve">BUR </t>
    </r>
    <r>
      <rPr>
        <sz val="11"/>
        <color theme="1"/>
        <rFont val="Arial"/>
        <family val="2"/>
      </rPr>
      <t>=</t>
    </r>
    <phoneticPr fontId="25" type="noConversion"/>
  </si>
  <si>
    <r>
      <t>I</t>
    </r>
    <r>
      <rPr>
        <vertAlign val="subscript"/>
        <sz val="11"/>
        <color theme="1"/>
        <rFont val="Arial"/>
        <family val="2"/>
      </rPr>
      <t xml:space="preserve">IN_BUR </t>
    </r>
    <r>
      <rPr>
        <sz val="11"/>
        <color theme="1"/>
        <rFont val="Arial"/>
        <family val="2"/>
      </rPr>
      <t>=</t>
    </r>
    <phoneticPr fontId="25" type="noConversion"/>
  </si>
  <si>
    <r>
      <t>V</t>
    </r>
    <r>
      <rPr>
        <vertAlign val="subscript"/>
        <sz val="11"/>
        <color theme="1"/>
        <rFont val="Arial"/>
        <family val="2"/>
      </rPr>
      <t>CST_BUR</t>
    </r>
    <r>
      <rPr>
        <sz val="11"/>
        <color theme="1"/>
        <rFont val="Arial"/>
        <family val="2"/>
      </rPr>
      <t xml:space="preserve"> =</t>
    </r>
    <phoneticPr fontId="25" type="noConversion"/>
  </si>
  <si>
    <r>
      <t>Line Sensing Current at Max Input, i</t>
    </r>
    <r>
      <rPr>
        <vertAlign val="subscript"/>
        <sz val="11"/>
        <color theme="1"/>
        <rFont val="Arial"/>
        <family val="2"/>
      </rPr>
      <t>VSL_max</t>
    </r>
    <r>
      <rPr>
        <sz val="11"/>
        <color theme="1"/>
        <rFont val="Arial"/>
        <family val="2"/>
      </rPr>
      <t xml:space="preserve"> =</t>
    </r>
    <phoneticPr fontId="25" type="noConversion"/>
  </si>
  <si>
    <r>
      <t>i</t>
    </r>
    <r>
      <rPr>
        <vertAlign val="subscript"/>
        <sz val="11"/>
        <color theme="1"/>
        <rFont val="Arial"/>
        <family val="2"/>
      </rPr>
      <t>VSL_max</t>
    </r>
    <r>
      <rPr>
        <sz val="11"/>
        <color theme="1"/>
        <rFont val="Arial"/>
        <family val="2"/>
      </rPr>
      <t xml:space="preserve"> =</t>
    </r>
    <phoneticPr fontId="25" type="noConversion"/>
  </si>
  <si>
    <r>
      <t>i</t>
    </r>
    <r>
      <rPr>
        <vertAlign val="subscript"/>
        <sz val="11"/>
        <color theme="1"/>
        <rFont val="Arial"/>
        <family val="2"/>
      </rPr>
      <t>VSL_BUR</t>
    </r>
    <r>
      <rPr>
        <sz val="11"/>
        <color theme="1"/>
        <rFont val="Arial"/>
        <family val="2"/>
      </rPr>
      <t xml:space="preserve"> =</t>
    </r>
    <phoneticPr fontId="25" type="noConversion"/>
  </si>
  <si>
    <t>V</t>
    <phoneticPr fontId="25" type="noConversion"/>
  </si>
  <si>
    <r>
      <t>Peak Current During BUR, i</t>
    </r>
    <r>
      <rPr>
        <vertAlign val="subscript"/>
        <sz val="11"/>
        <color theme="1"/>
        <rFont val="Arial"/>
        <family val="2"/>
      </rPr>
      <t>pk_BUR</t>
    </r>
    <r>
      <rPr>
        <sz val="11"/>
        <color theme="1"/>
        <rFont val="Arial"/>
        <family val="2"/>
      </rPr>
      <t xml:space="preserve"> =</t>
    </r>
    <phoneticPr fontId="25" type="noConversion"/>
  </si>
  <si>
    <r>
      <t>Negative Magnetizing Inductor Current at BUR, I</t>
    </r>
    <r>
      <rPr>
        <vertAlign val="subscript"/>
        <sz val="11"/>
        <color theme="1"/>
        <rFont val="Arial"/>
        <family val="2"/>
      </rPr>
      <t xml:space="preserve">M_nega_BUR </t>
    </r>
    <r>
      <rPr>
        <sz val="11"/>
        <color theme="1"/>
        <rFont val="Arial"/>
        <family val="2"/>
      </rPr>
      <t>=</t>
    </r>
    <phoneticPr fontId="25" type="noConversion"/>
  </si>
  <si>
    <r>
      <t>Switching Frequency During BUR, f</t>
    </r>
    <r>
      <rPr>
        <vertAlign val="subscript"/>
        <sz val="11"/>
        <color theme="1"/>
        <rFont val="Arial"/>
        <family val="2"/>
      </rPr>
      <t xml:space="preserve">sw_OPP_BUR </t>
    </r>
    <r>
      <rPr>
        <sz val="11"/>
        <color theme="1"/>
        <rFont val="Arial"/>
        <family val="2"/>
      </rPr>
      <t>=</t>
    </r>
    <phoneticPr fontId="25" type="noConversion"/>
  </si>
  <si>
    <r>
      <t>OPP Input Current at BUR, I</t>
    </r>
    <r>
      <rPr>
        <vertAlign val="subscript"/>
        <sz val="11"/>
        <color theme="1"/>
        <rFont val="Arial"/>
        <family val="2"/>
      </rPr>
      <t xml:space="preserve">IN_OPP_BUR </t>
    </r>
    <r>
      <rPr>
        <sz val="11"/>
        <color theme="1"/>
        <rFont val="Arial"/>
        <family val="2"/>
      </rPr>
      <t>=</t>
    </r>
    <phoneticPr fontId="25" type="noConversion"/>
  </si>
  <si>
    <r>
      <t>Line Sensing Current at BUR, i</t>
    </r>
    <r>
      <rPr>
        <vertAlign val="subscript"/>
        <sz val="11"/>
        <color theme="1"/>
        <rFont val="Arial"/>
        <family val="2"/>
      </rPr>
      <t>VSL_BUR</t>
    </r>
    <r>
      <rPr>
        <sz val="11"/>
        <color theme="1"/>
        <rFont val="Arial"/>
        <family val="2"/>
      </rPr>
      <t xml:space="preserve"> =</t>
    </r>
    <phoneticPr fontId="25" type="noConversion"/>
  </si>
  <si>
    <r>
      <t>R</t>
    </r>
    <r>
      <rPr>
        <vertAlign val="subscript"/>
        <sz val="11"/>
        <color theme="1"/>
        <rFont val="Arial"/>
        <family val="2"/>
      </rPr>
      <t>BUR2_rec</t>
    </r>
    <r>
      <rPr>
        <sz val="11"/>
        <color theme="1"/>
        <rFont val="Arial"/>
        <family val="2"/>
      </rPr>
      <t xml:space="preserve"> =</t>
    </r>
    <phoneticPr fontId="25" type="noConversion"/>
  </si>
  <si>
    <r>
      <t>R</t>
    </r>
    <r>
      <rPr>
        <vertAlign val="subscript"/>
        <sz val="11"/>
        <color theme="1"/>
        <rFont val="Arial"/>
        <family val="2"/>
      </rPr>
      <t>BUR2_act</t>
    </r>
    <r>
      <rPr>
        <sz val="11"/>
        <color theme="1"/>
        <rFont val="Arial"/>
        <family val="2"/>
      </rPr>
      <t xml:space="preserve"> =</t>
    </r>
    <phoneticPr fontId="25" type="noConversion"/>
  </si>
  <si>
    <r>
      <t>R</t>
    </r>
    <r>
      <rPr>
        <vertAlign val="subscript"/>
        <sz val="11"/>
        <color theme="1"/>
        <rFont val="Arial"/>
        <family val="2"/>
      </rPr>
      <t xml:space="preserve">BUR2 </t>
    </r>
    <r>
      <rPr>
        <sz val="11"/>
        <color theme="1"/>
        <rFont val="Arial"/>
        <family val="2"/>
      </rPr>
      <t>=</t>
    </r>
    <phoneticPr fontId="25" type="noConversion"/>
  </si>
  <si>
    <t>Damping Network for Depletion FET</t>
    <phoneticPr fontId="25" type="noConversion"/>
  </si>
  <si>
    <t>pF</t>
    <phoneticPr fontId="25" type="noConversion"/>
  </si>
  <si>
    <r>
      <t>C</t>
    </r>
    <r>
      <rPr>
        <vertAlign val="subscript"/>
        <sz val="11"/>
        <color theme="1"/>
        <rFont val="Arial"/>
        <family val="2"/>
      </rPr>
      <t xml:space="preserve">SWS_act </t>
    </r>
    <r>
      <rPr>
        <sz val="11"/>
        <color theme="1"/>
        <rFont val="Arial"/>
        <family val="2"/>
      </rPr>
      <t>=</t>
    </r>
    <phoneticPr fontId="25" type="noConversion"/>
  </si>
  <si>
    <r>
      <t>C</t>
    </r>
    <r>
      <rPr>
        <vertAlign val="subscript"/>
        <sz val="11"/>
        <color theme="1"/>
        <rFont val="Arial"/>
        <family val="2"/>
      </rPr>
      <t>SWS</t>
    </r>
    <r>
      <rPr>
        <sz val="11"/>
        <color theme="1"/>
        <rFont val="Arial"/>
        <family val="2"/>
      </rPr>
      <t xml:space="preserve"> =</t>
    </r>
    <phoneticPr fontId="25" type="noConversion"/>
  </si>
  <si>
    <r>
      <t>R</t>
    </r>
    <r>
      <rPr>
        <vertAlign val="subscript"/>
        <sz val="11"/>
        <color theme="1"/>
        <rFont val="Arial"/>
        <family val="2"/>
      </rPr>
      <t>SWS_act</t>
    </r>
    <r>
      <rPr>
        <sz val="11"/>
        <color theme="1"/>
        <rFont val="Arial"/>
        <family val="2"/>
      </rPr>
      <t xml:space="preserve"> =</t>
    </r>
    <phoneticPr fontId="25" type="noConversion"/>
  </si>
  <si>
    <r>
      <t>R</t>
    </r>
    <r>
      <rPr>
        <vertAlign val="subscript"/>
        <sz val="11"/>
        <color theme="1"/>
        <rFont val="Arial"/>
        <family val="2"/>
      </rPr>
      <t>SWS</t>
    </r>
    <r>
      <rPr>
        <sz val="11"/>
        <color theme="1"/>
        <rFont val="Arial"/>
        <family val="2"/>
      </rPr>
      <t xml:space="preserve"> =</t>
    </r>
    <phoneticPr fontId="25" type="noConversion"/>
  </si>
  <si>
    <t>Decoupling Cap of Internal Regulator</t>
    <phoneticPr fontId="25" type="noConversion"/>
  </si>
  <si>
    <r>
      <t>R</t>
    </r>
    <r>
      <rPr>
        <vertAlign val="subscript"/>
        <sz val="11"/>
        <color theme="1"/>
        <rFont val="Arial"/>
        <family val="2"/>
      </rPr>
      <t>HVG_act</t>
    </r>
    <r>
      <rPr>
        <sz val="11"/>
        <color theme="1"/>
        <rFont val="Arial"/>
        <family val="2"/>
      </rPr>
      <t xml:space="preserve"> =</t>
    </r>
    <phoneticPr fontId="25" type="noConversion"/>
  </si>
  <si>
    <r>
      <t>R</t>
    </r>
    <r>
      <rPr>
        <vertAlign val="subscript"/>
        <sz val="11"/>
        <color theme="1"/>
        <rFont val="Arial"/>
        <family val="2"/>
      </rPr>
      <t>HVG</t>
    </r>
    <r>
      <rPr>
        <sz val="11"/>
        <color theme="1"/>
        <rFont val="Arial"/>
        <family val="2"/>
      </rPr>
      <t xml:space="preserve"> =</t>
    </r>
    <phoneticPr fontId="25" type="noConversion"/>
  </si>
  <si>
    <r>
      <t>1M</t>
    </r>
    <r>
      <rPr>
        <sz val="11"/>
        <color theme="1"/>
        <rFont val="Calibri"/>
        <family val="2"/>
      </rPr>
      <t>Ω</t>
    </r>
    <r>
      <rPr>
        <sz val="11"/>
        <color theme="1"/>
        <rFont val="Arial"/>
        <family val="2"/>
      </rPr>
      <t xml:space="preserve"> recommended</t>
    </r>
    <phoneticPr fontId="25" type="noConversion"/>
  </si>
  <si>
    <r>
      <t>C</t>
    </r>
    <r>
      <rPr>
        <vertAlign val="subscript"/>
        <sz val="11"/>
        <color theme="1"/>
        <rFont val="Arial"/>
        <family val="2"/>
      </rPr>
      <t>HVG_act</t>
    </r>
    <r>
      <rPr>
        <sz val="11"/>
        <color theme="1"/>
        <rFont val="Arial"/>
        <family val="2"/>
      </rPr>
      <t xml:space="preserve"> =</t>
    </r>
    <phoneticPr fontId="25" type="noConversion"/>
  </si>
  <si>
    <r>
      <t>C</t>
    </r>
    <r>
      <rPr>
        <vertAlign val="subscript"/>
        <sz val="11"/>
        <color theme="1"/>
        <rFont val="Arial"/>
        <family val="2"/>
      </rPr>
      <t>HVG</t>
    </r>
    <r>
      <rPr>
        <sz val="11"/>
        <color theme="1"/>
        <rFont val="Arial"/>
        <family val="2"/>
      </rPr>
      <t xml:space="preserve"> =</t>
    </r>
    <phoneticPr fontId="25" type="noConversion"/>
  </si>
  <si>
    <t>nF</t>
    <phoneticPr fontId="25" type="noConversion"/>
  </si>
  <si>
    <t>nF</t>
    <phoneticPr fontId="25" type="noConversion"/>
  </si>
  <si>
    <t>2.2nF recommended</t>
    <phoneticPr fontId="25" type="noConversion"/>
  </si>
  <si>
    <t>µF</t>
  </si>
  <si>
    <r>
      <t>C</t>
    </r>
    <r>
      <rPr>
        <vertAlign val="subscript"/>
        <sz val="11"/>
        <color theme="1"/>
        <rFont val="Arial"/>
        <family val="2"/>
      </rPr>
      <t>REF_act</t>
    </r>
    <r>
      <rPr>
        <sz val="11"/>
        <color theme="1"/>
        <rFont val="Arial"/>
        <family val="2"/>
      </rPr>
      <t xml:space="preserve"> =</t>
    </r>
    <phoneticPr fontId="25" type="noConversion"/>
  </si>
  <si>
    <r>
      <t>C</t>
    </r>
    <r>
      <rPr>
        <vertAlign val="subscript"/>
        <sz val="11"/>
        <color theme="1"/>
        <rFont val="Arial"/>
        <family val="2"/>
      </rPr>
      <t>REF</t>
    </r>
    <r>
      <rPr>
        <sz val="11"/>
        <color theme="1"/>
        <rFont val="Arial"/>
        <family val="2"/>
      </rPr>
      <t xml:space="preserve"> =</t>
    </r>
    <phoneticPr fontId="25" type="noConversion"/>
  </si>
  <si>
    <t>0.1µF recommended</t>
    <phoneticPr fontId="25" type="noConversion"/>
  </si>
  <si>
    <t>VDD Supply for Driver</t>
    <phoneticPr fontId="25" type="noConversion"/>
  </si>
  <si>
    <t>AUX Power on Primary Side</t>
    <phoneticPr fontId="25" type="noConversion"/>
  </si>
  <si>
    <r>
      <t>R</t>
    </r>
    <r>
      <rPr>
        <vertAlign val="subscript"/>
        <sz val="11"/>
        <color theme="1"/>
        <rFont val="Arial"/>
        <family val="2"/>
      </rPr>
      <t>DD1</t>
    </r>
    <r>
      <rPr>
        <sz val="11"/>
        <color theme="1"/>
        <rFont val="Arial"/>
        <family val="2"/>
      </rPr>
      <t xml:space="preserve"> =</t>
    </r>
    <phoneticPr fontId="25" type="noConversion"/>
  </si>
  <si>
    <r>
      <t>R</t>
    </r>
    <r>
      <rPr>
        <vertAlign val="subscript"/>
        <sz val="11"/>
        <rFont val="Arial"/>
        <family val="2"/>
      </rPr>
      <t>DD1_act</t>
    </r>
    <r>
      <rPr>
        <sz val="11"/>
        <rFont val="Arial"/>
        <family val="2"/>
      </rPr>
      <t xml:space="preserve"> =</t>
    </r>
    <phoneticPr fontId="25" type="noConversion"/>
  </si>
  <si>
    <t>ms</t>
    <phoneticPr fontId="25" type="noConversion"/>
  </si>
  <si>
    <r>
      <t>T</t>
    </r>
    <r>
      <rPr>
        <vertAlign val="subscript"/>
        <sz val="11"/>
        <color theme="1"/>
        <rFont val="Arial"/>
        <family val="2"/>
      </rPr>
      <t>HVG</t>
    </r>
    <r>
      <rPr>
        <sz val="11"/>
        <color theme="1"/>
        <rFont val="Arial"/>
        <family val="2"/>
      </rPr>
      <t xml:space="preserve"> =</t>
    </r>
    <phoneticPr fontId="25" type="noConversion"/>
  </si>
  <si>
    <t>Output Cap and Input Cap Selection</t>
    <phoneticPr fontId="25" type="noConversion"/>
  </si>
  <si>
    <r>
      <t>T</t>
    </r>
    <r>
      <rPr>
        <vertAlign val="subscript"/>
        <sz val="11"/>
        <color theme="1"/>
        <rFont val="Arial"/>
        <family val="2"/>
      </rPr>
      <t>SS_max</t>
    </r>
    <r>
      <rPr>
        <sz val="11"/>
        <color theme="1"/>
        <rFont val="Arial"/>
        <family val="2"/>
      </rPr>
      <t xml:space="preserve"> =</t>
    </r>
    <phoneticPr fontId="25" type="noConversion"/>
  </si>
  <si>
    <r>
      <t>I</t>
    </r>
    <r>
      <rPr>
        <vertAlign val="subscript"/>
        <sz val="11"/>
        <color theme="1"/>
        <rFont val="Arial"/>
        <family val="2"/>
      </rPr>
      <t xml:space="preserve">M_nega_start </t>
    </r>
    <r>
      <rPr>
        <sz val="11"/>
        <color theme="1"/>
        <rFont val="Arial"/>
        <family val="2"/>
      </rPr>
      <t>=</t>
    </r>
    <phoneticPr fontId="25" type="noConversion"/>
  </si>
  <si>
    <r>
      <t>f</t>
    </r>
    <r>
      <rPr>
        <vertAlign val="subscript"/>
        <sz val="11"/>
        <color theme="1"/>
        <rFont val="Arial"/>
        <family val="2"/>
      </rPr>
      <t xml:space="preserve">sw_OPP_start </t>
    </r>
    <r>
      <rPr>
        <sz val="11"/>
        <color theme="1"/>
        <rFont val="Arial"/>
        <family val="2"/>
      </rPr>
      <t>=</t>
    </r>
    <phoneticPr fontId="25" type="noConversion"/>
  </si>
  <si>
    <r>
      <t>I</t>
    </r>
    <r>
      <rPr>
        <vertAlign val="subscript"/>
        <sz val="11"/>
        <color theme="1"/>
        <rFont val="Arial"/>
        <family val="2"/>
      </rPr>
      <t xml:space="preserve">IN_OPP_start </t>
    </r>
    <r>
      <rPr>
        <sz val="11"/>
        <color theme="1"/>
        <rFont val="Arial"/>
        <family val="2"/>
      </rPr>
      <t>=</t>
    </r>
    <phoneticPr fontId="25" type="noConversion"/>
  </si>
  <si>
    <r>
      <t xml:space="preserve"> D</t>
    </r>
    <r>
      <rPr>
        <vertAlign val="subscript"/>
        <sz val="11"/>
        <color theme="1"/>
        <rFont val="Arial"/>
        <family val="2"/>
      </rPr>
      <t xml:space="preserve">OPP_start </t>
    </r>
    <r>
      <rPr>
        <sz val="11"/>
        <color theme="1"/>
        <rFont val="Arial"/>
        <family val="2"/>
      </rPr>
      <t>=</t>
    </r>
    <phoneticPr fontId="25" type="noConversion"/>
  </si>
  <si>
    <t>mA</t>
    <phoneticPr fontId="25" type="noConversion"/>
  </si>
  <si>
    <r>
      <t>Driver Current, I</t>
    </r>
    <r>
      <rPr>
        <vertAlign val="subscript"/>
        <sz val="11"/>
        <color theme="1"/>
        <rFont val="Arial"/>
        <family val="2"/>
      </rPr>
      <t xml:space="preserve">VCC_qcc </t>
    </r>
    <r>
      <rPr>
        <sz val="11"/>
        <color theme="1"/>
        <rFont val="Arial"/>
        <family val="2"/>
      </rPr>
      <t>=</t>
    </r>
    <phoneticPr fontId="25" type="noConversion"/>
  </si>
  <si>
    <r>
      <t>I</t>
    </r>
    <r>
      <rPr>
        <vertAlign val="subscript"/>
        <sz val="11"/>
        <color theme="1"/>
        <rFont val="Arial"/>
        <family val="2"/>
      </rPr>
      <t>VCC_sw</t>
    </r>
    <r>
      <rPr>
        <sz val="11"/>
        <color theme="1"/>
        <rFont val="Arial"/>
        <family val="2"/>
      </rPr>
      <t xml:space="preserve"> =</t>
    </r>
    <phoneticPr fontId="25" type="noConversion"/>
  </si>
  <si>
    <t>mA</t>
    <phoneticPr fontId="25" type="noConversion"/>
  </si>
  <si>
    <r>
      <t>C</t>
    </r>
    <r>
      <rPr>
        <vertAlign val="subscript"/>
        <sz val="11"/>
        <color theme="1"/>
        <rFont val="Arial"/>
        <family val="2"/>
      </rPr>
      <t>DD1_rec</t>
    </r>
    <r>
      <rPr>
        <sz val="11"/>
        <color theme="1"/>
        <rFont val="Arial"/>
        <family val="2"/>
      </rPr>
      <t xml:space="preserve"> =</t>
    </r>
    <phoneticPr fontId="25" type="noConversion"/>
  </si>
  <si>
    <r>
      <t>Negative Magnetizing Inductor Current at Start,
 I</t>
    </r>
    <r>
      <rPr>
        <vertAlign val="subscript"/>
        <sz val="11"/>
        <color theme="1"/>
        <rFont val="Arial"/>
        <family val="2"/>
      </rPr>
      <t xml:space="preserve">M_nega_start </t>
    </r>
    <r>
      <rPr>
        <sz val="11"/>
        <color theme="1"/>
        <rFont val="Arial"/>
        <family val="2"/>
      </rPr>
      <t>=</t>
    </r>
    <phoneticPr fontId="25" type="noConversion"/>
  </si>
  <si>
    <r>
      <t>Switching Frequency During OPP at Start, f</t>
    </r>
    <r>
      <rPr>
        <vertAlign val="subscript"/>
        <sz val="11"/>
        <color theme="1"/>
        <rFont val="Arial"/>
        <family val="2"/>
      </rPr>
      <t xml:space="preserve">sw_OPP_start </t>
    </r>
    <r>
      <rPr>
        <sz val="11"/>
        <color theme="1"/>
        <rFont val="Arial"/>
        <family val="2"/>
      </rPr>
      <t>=</t>
    </r>
    <phoneticPr fontId="25" type="noConversion"/>
  </si>
  <si>
    <r>
      <t>OPP Input Current at Start, I</t>
    </r>
    <r>
      <rPr>
        <vertAlign val="subscript"/>
        <sz val="11"/>
        <color theme="1"/>
        <rFont val="Arial"/>
        <family val="2"/>
      </rPr>
      <t xml:space="preserve">IN_OPP_start </t>
    </r>
    <r>
      <rPr>
        <sz val="11"/>
        <color theme="1"/>
        <rFont val="Arial"/>
        <family val="2"/>
      </rPr>
      <t>=</t>
    </r>
    <phoneticPr fontId="25" type="noConversion"/>
  </si>
  <si>
    <r>
      <t>Driver Require Current, I</t>
    </r>
    <r>
      <rPr>
        <vertAlign val="subscript"/>
        <sz val="11"/>
        <color theme="1"/>
        <rFont val="Arial"/>
        <family val="2"/>
      </rPr>
      <t>VCC_SW</t>
    </r>
    <r>
      <rPr>
        <sz val="11"/>
        <color theme="1"/>
        <rFont val="Arial"/>
        <family val="2"/>
      </rPr>
      <t xml:space="preserve"> =</t>
    </r>
    <phoneticPr fontId="25" type="noConversion"/>
  </si>
  <si>
    <r>
      <t>C</t>
    </r>
    <r>
      <rPr>
        <vertAlign val="subscript"/>
        <sz val="11"/>
        <color theme="1"/>
        <rFont val="Arial"/>
        <family val="2"/>
      </rPr>
      <t>DD1_act</t>
    </r>
    <r>
      <rPr>
        <sz val="11"/>
        <color theme="1"/>
        <rFont val="Arial"/>
        <family val="2"/>
      </rPr>
      <t xml:space="preserve"> =</t>
    </r>
    <phoneticPr fontId="25" type="noConversion"/>
  </si>
  <si>
    <r>
      <t>C</t>
    </r>
    <r>
      <rPr>
        <vertAlign val="subscript"/>
        <sz val="11"/>
        <color theme="1"/>
        <rFont val="Arial"/>
        <family val="2"/>
      </rPr>
      <t>DD1</t>
    </r>
    <r>
      <rPr>
        <sz val="11"/>
        <color theme="1"/>
        <rFont val="Arial"/>
        <family val="2"/>
      </rPr>
      <t xml:space="preserve"> =</t>
    </r>
    <phoneticPr fontId="25" type="noConversion"/>
  </si>
  <si>
    <r>
      <t>M</t>
    </r>
    <r>
      <rPr>
        <sz val="11"/>
        <color theme="1"/>
        <rFont val="Calibri"/>
        <family val="2"/>
      </rPr>
      <t>Ω</t>
    </r>
    <phoneticPr fontId="25" type="noConversion"/>
  </si>
  <si>
    <r>
      <t>R</t>
    </r>
    <r>
      <rPr>
        <vertAlign val="subscript"/>
        <sz val="11"/>
        <color theme="1"/>
        <rFont val="Arial"/>
        <family val="2"/>
      </rPr>
      <t>BLEED_act</t>
    </r>
    <r>
      <rPr>
        <sz val="11"/>
        <color theme="1"/>
        <rFont val="Arial"/>
        <family val="2"/>
      </rPr>
      <t xml:space="preserve"> =</t>
    </r>
    <phoneticPr fontId="25" type="noConversion"/>
  </si>
  <si>
    <r>
      <t>R</t>
    </r>
    <r>
      <rPr>
        <vertAlign val="subscript"/>
        <sz val="11"/>
        <color theme="1"/>
        <rFont val="Arial"/>
        <family val="2"/>
      </rPr>
      <t>BLEED</t>
    </r>
    <r>
      <rPr>
        <sz val="11"/>
        <color theme="1"/>
        <rFont val="Arial"/>
        <family val="2"/>
      </rPr>
      <t xml:space="preserve"> =</t>
    </r>
    <phoneticPr fontId="25" type="noConversion"/>
  </si>
  <si>
    <t>Optocoupler Feedback</t>
    <phoneticPr fontId="25" type="noConversion"/>
  </si>
  <si>
    <r>
      <t>R</t>
    </r>
    <r>
      <rPr>
        <vertAlign val="subscript"/>
        <sz val="11"/>
        <color theme="1"/>
        <rFont val="Arial"/>
        <family val="2"/>
      </rPr>
      <t>FB_max</t>
    </r>
    <r>
      <rPr>
        <sz val="11"/>
        <color theme="1"/>
        <rFont val="Arial"/>
        <family val="2"/>
      </rPr>
      <t xml:space="preserve"> =</t>
    </r>
    <phoneticPr fontId="25" type="noConversion"/>
  </si>
  <si>
    <r>
      <t>R</t>
    </r>
    <r>
      <rPr>
        <vertAlign val="subscript"/>
        <sz val="11"/>
        <color theme="1"/>
        <rFont val="Arial"/>
        <family val="2"/>
      </rPr>
      <t>FB_act</t>
    </r>
    <r>
      <rPr>
        <sz val="11"/>
        <color theme="1"/>
        <rFont val="Arial"/>
        <family val="2"/>
      </rPr>
      <t xml:space="preserve"> =</t>
    </r>
    <phoneticPr fontId="25" type="noConversion"/>
  </si>
  <si>
    <r>
      <t>R</t>
    </r>
    <r>
      <rPr>
        <vertAlign val="subscript"/>
        <sz val="11"/>
        <color theme="1"/>
        <rFont val="Arial"/>
        <family val="2"/>
      </rPr>
      <t>FB</t>
    </r>
    <r>
      <rPr>
        <sz val="11"/>
        <color theme="1"/>
        <rFont val="Arial"/>
        <family val="2"/>
      </rPr>
      <t xml:space="preserve"> =</t>
    </r>
    <phoneticPr fontId="25" type="noConversion"/>
  </si>
  <si>
    <t>smaller resistance move low frequency pole to higher frequency for better response in ABM</t>
    <phoneticPr fontId="25" type="noConversion"/>
  </si>
  <si>
    <r>
      <t>Low Side Driver Delay , T</t>
    </r>
    <r>
      <rPr>
        <vertAlign val="subscript"/>
        <sz val="11"/>
        <color theme="1"/>
        <rFont val="Arial"/>
        <family val="2"/>
      </rPr>
      <t xml:space="preserve">D_LDr </t>
    </r>
    <r>
      <rPr>
        <sz val="11"/>
        <color theme="1"/>
        <rFont val="Arial"/>
        <family val="2"/>
      </rPr>
      <t>=</t>
    </r>
    <phoneticPr fontId="25" type="noConversion"/>
  </si>
  <si>
    <r>
      <t>High Side Driver Delay, T</t>
    </r>
    <r>
      <rPr>
        <vertAlign val="subscript"/>
        <sz val="11"/>
        <color theme="1"/>
        <rFont val="Arial"/>
        <family val="2"/>
      </rPr>
      <t>D_HDr</t>
    </r>
    <r>
      <rPr>
        <sz val="11"/>
        <color theme="1"/>
        <rFont val="Arial"/>
        <family val="2"/>
      </rPr>
      <t xml:space="preserve"> =</t>
    </r>
    <phoneticPr fontId="25" type="noConversion"/>
  </si>
  <si>
    <r>
      <t>Bootstrap Diode's Parasitic Capacitance, C</t>
    </r>
    <r>
      <rPr>
        <vertAlign val="subscript"/>
        <sz val="11"/>
        <color theme="1"/>
        <rFont val="Arial"/>
        <family val="2"/>
      </rPr>
      <t xml:space="preserve">BootD_T </t>
    </r>
    <r>
      <rPr>
        <sz val="11"/>
        <color theme="1"/>
        <rFont val="Arial"/>
        <family val="2"/>
      </rPr>
      <t>=</t>
    </r>
    <phoneticPr fontId="25" type="noConversion"/>
  </si>
  <si>
    <r>
      <t>Parasitic Inductance, L</t>
    </r>
    <r>
      <rPr>
        <vertAlign val="subscript"/>
        <sz val="11"/>
        <color theme="1"/>
        <rFont val="Arial"/>
        <family val="2"/>
      </rPr>
      <t>Qs</t>
    </r>
    <r>
      <rPr>
        <sz val="11"/>
        <color theme="1"/>
        <rFont val="Arial"/>
        <family val="2"/>
      </rPr>
      <t>=</t>
    </r>
    <phoneticPr fontId="25" type="noConversion"/>
  </si>
  <si>
    <r>
      <t>R</t>
    </r>
    <r>
      <rPr>
        <vertAlign val="subscript"/>
        <sz val="11"/>
        <color theme="1"/>
        <rFont val="Arial"/>
        <family val="2"/>
      </rPr>
      <t xml:space="preserve">bias2_rec </t>
    </r>
    <r>
      <rPr>
        <sz val="11"/>
        <color theme="1"/>
        <rFont val="Arial"/>
        <family val="2"/>
      </rPr>
      <t>=</t>
    </r>
    <phoneticPr fontId="25" type="noConversion"/>
  </si>
  <si>
    <r>
      <t>R</t>
    </r>
    <r>
      <rPr>
        <vertAlign val="subscript"/>
        <sz val="11"/>
        <color theme="1"/>
        <rFont val="Arial"/>
        <family val="2"/>
      </rPr>
      <t xml:space="preserve">bias2_act </t>
    </r>
    <r>
      <rPr>
        <sz val="11"/>
        <color theme="1"/>
        <rFont val="Arial"/>
        <family val="2"/>
      </rPr>
      <t>=</t>
    </r>
    <phoneticPr fontId="25" type="noConversion"/>
  </si>
  <si>
    <r>
      <t>R</t>
    </r>
    <r>
      <rPr>
        <vertAlign val="subscript"/>
        <sz val="11"/>
        <color theme="1"/>
        <rFont val="Arial"/>
        <family val="2"/>
      </rPr>
      <t xml:space="preserve">bias2 </t>
    </r>
    <r>
      <rPr>
        <sz val="11"/>
        <color theme="1"/>
        <rFont val="Arial"/>
        <family val="2"/>
      </rPr>
      <t>=</t>
    </r>
    <phoneticPr fontId="25" type="noConversion"/>
  </si>
  <si>
    <t>Ω</t>
    <phoneticPr fontId="25" type="noConversion"/>
  </si>
  <si>
    <t>Rbias2 to supply shunt regulator when opto-coupler is cut off</t>
    <phoneticPr fontId="25" type="noConversion"/>
  </si>
  <si>
    <r>
      <t>R</t>
    </r>
    <r>
      <rPr>
        <vertAlign val="subscript"/>
        <sz val="11"/>
        <color theme="1"/>
        <rFont val="Arial"/>
        <family val="2"/>
      </rPr>
      <t>bias1_max_SBP</t>
    </r>
    <r>
      <rPr>
        <sz val="11"/>
        <color theme="1"/>
        <rFont val="Arial"/>
        <family val="2"/>
      </rPr>
      <t xml:space="preserve"> =</t>
    </r>
    <phoneticPr fontId="25" type="noConversion"/>
  </si>
  <si>
    <r>
      <t>R</t>
    </r>
    <r>
      <rPr>
        <vertAlign val="subscript"/>
        <sz val="11"/>
        <color theme="1"/>
        <rFont val="Arial"/>
        <family val="2"/>
      </rPr>
      <t>bias1_max_ABM</t>
    </r>
    <r>
      <rPr>
        <sz val="11"/>
        <color theme="1"/>
        <rFont val="Arial"/>
        <family val="2"/>
      </rPr>
      <t xml:space="preserve"> =</t>
    </r>
    <phoneticPr fontId="25" type="noConversion"/>
  </si>
  <si>
    <r>
      <t xml:space="preserve"> i</t>
    </r>
    <r>
      <rPr>
        <vertAlign val="subscript"/>
        <sz val="11"/>
        <color theme="1"/>
        <rFont val="Arial"/>
        <family val="2"/>
      </rPr>
      <t>pk_OPP_min</t>
    </r>
    <r>
      <rPr>
        <sz val="11"/>
        <color theme="1"/>
        <rFont val="Arial"/>
        <family val="2"/>
      </rPr>
      <t xml:space="preserve"> =</t>
    </r>
    <phoneticPr fontId="25" type="noConversion"/>
  </si>
  <si>
    <r>
      <t>I</t>
    </r>
    <r>
      <rPr>
        <vertAlign val="subscript"/>
        <sz val="11"/>
        <color theme="1"/>
        <rFont val="Arial"/>
        <family val="2"/>
      </rPr>
      <t xml:space="preserve">M_nega_OPP_min </t>
    </r>
    <r>
      <rPr>
        <sz val="11"/>
        <color theme="1"/>
        <rFont val="Arial"/>
        <family val="2"/>
      </rPr>
      <t>=</t>
    </r>
    <phoneticPr fontId="25" type="noConversion"/>
  </si>
  <si>
    <r>
      <t>Peak Current During OPP at Min Input, i</t>
    </r>
    <r>
      <rPr>
        <vertAlign val="subscript"/>
        <sz val="11"/>
        <color theme="1"/>
        <rFont val="Arial"/>
        <family val="2"/>
      </rPr>
      <t>pk_OPP_min</t>
    </r>
    <r>
      <rPr>
        <sz val="11"/>
        <color theme="1"/>
        <rFont val="Arial"/>
        <family val="2"/>
      </rPr>
      <t xml:space="preserve"> =</t>
    </r>
    <phoneticPr fontId="25" type="noConversion"/>
  </si>
  <si>
    <r>
      <t xml:space="preserve"> i</t>
    </r>
    <r>
      <rPr>
        <vertAlign val="subscript"/>
        <sz val="11"/>
        <color theme="1"/>
        <rFont val="Arial"/>
        <family val="2"/>
      </rPr>
      <t>pk_min</t>
    </r>
    <r>
      <rPr>
        <sz val="11"/>
        <color theme="1"/>
        <rFont val="Arial"/>
        <family val="2"/>
      </rPr>
      <t xml:space="preserve"> =</t>
    </r>
    <phoneticPr fontId="25" type="noConversion"/>
  </si>
  <si>
    <r>
      <t>I</t>
    </r>
    <r>
      <rPr>
        <vertAlign val="subscript"/>
        <sz val="11"/>
        <color theme="1"/>
        <rFont val="Arial"/>
        <family val="2"/>
      </rPr>
      <t xml:space="preserve">M_nega_min </t>
    </r>
    <r>
      <rPr>
        <sz val="11"/>
        <color theme="1"/>
        <rFont val="Arial"/>
        <family val="2"/>
      </rPr>
      <t>=</t>
    </r>
    <phoneticPr fontId="25" type="noConversion"/>
  </si>
  <si>
    <r>
      <t>f</t>
    </r>
    <r>
      <rPr>
        <vertAlign val="subscript"/>
        <sz val="11"/>
        <color theme="1"/>
        <rFont val="Arial"/>
        <family val="2"/>
      </rPr>
      <t xml:space="preserve">sw_min </t>
    </r>
    <r>
      <rPr>
        <sz val="11"/>
        <color theme="1"/>
        <rFont val="Arial"/>
        <family val="2"/>
      </rPr>
      <t>=</t>
    </r>
    <phoneticPr fontId="25" type="noConversion"/>
  </si>
  <si>
    <r>
      <t>I</t>
    </r>
    <r>
      <rPr>
        <vertAlign val="subscript"/>
        <sz val="11"/>
        <color theme="1"/>
        <rFont val="Arial"/>
        <family val="2"/>
      </rPr>
      <t xml:space="preserve">IN_min </t>
    </r>
    <r>
      <rPr>
        <sz val="11"/>
        <color theme="1"/>
        <rFont val="Arial"/>
        <family val="2"/>
      </rPr>
      <t>=</t>
    </r>
    <phoneticPr fontId="25" type="noConversion"/>
  </si>
  <si>
    <r>
      <t xml:space="preserve"> D</t>
    </r>
    <r>
      <rPr>
        <vertAlign val="subscript"/>
        <sz val="11"/>
        <color theme="1"/>
        <rFont val="Arial"/>
        <family val="2"/>
      </rPr>
      <t xml:space="preserve">min </t>
    </r>
    <r>
      <rPr>
        <sz val="11"/>
        <color theme="1"/>
        <rFont val="Arial"/>
        <family val="2"/>
      </rPr>
      <t>=</t>
    </r>
    <phoneticPr fontId="25" type="noConversion"/>
  </si>
  <si>
    <r>
      <t>K</t>
    </r>
    <r>
      <rPr>
        <vertAlign val="subscript"/>
        <sz val="11"/>
        <color theme="1"/>
        <rFont val="Arial"/>
        <family val="2"/>
      </rPr>
      <t>VC</t>
    </r>
    <r>
      <rPr>
        <sz val="11"/>
        <color theme="1"/>
        <rFont val="Arial"/>
        <family val="2"/>
      </rPr>
      <t xml:space="preserve"> =</t>
    </r>
    <phoneticPr fontId="25" type="noConversion"/>
  </si>
  <si>
    <r>
      <t>R</t>
    </r>
    <r>
      <rPr>
        <vertAlign val="subscript"/>
        <sz val="11"/>
        <color theme="1"/>
        <rFont val="Arial"/>
        <family val="2"/>
      </rPr>
      <t>bias1_min</t>
    </r>
    <r>
      <rPr>
        <sz val="11"/>
        <color theme="1"/>
        <rFont val="Arial"/>
        <family val="2"/>
      </rPr>
      <t xml:space="preserve"> =</t>
    </r>
    <phoneticPr fontId="25" type="noConversion"/>
  </si>
  <si>
    <r>
      <t>R</t>
    </r>
    <r>
      <rPr>
        <vertAlign val="subscript"/>
        <sz val="11"/>
        <color theme="1"/>
        <rFont val="Arial"/>
        <family val="2"/>
      </rPr>
      <t>bias1_max</t>
    </r>
    <r>
      <rPr>
        <sz val="11"/>
        <color theme="1"/>
        <rFont val="Arial"/>
        <family val="2"/>
      </rPr>
      <t xml:space="preserve"> =</t>
    </r>
    <phoneticPr fontId="25" type="noConversion"/>
  </si>
  <si>
    <r>
      <t>R</t>
    </r>
    <r>
      <rPr>
        <vertAlign val="subscript"/>
        <sz val="11"/>
        <color theme="1"/>
        <rFont val="Arial"/>
        <family val="2"/>
      </rPr>
      <t>bias1</t>
    </r>
    <r>
      <rPr>
        <sz val="11"/>
        <color theme="1"/>
        <rFont val="Arial"/>
        <family val="2"/>
      </rPr>
      <t xml:space="preserve"> =</t>
    </r>
    <phoneticPr fontId="25" type="noConversion"/>
  </si>
  <si>
    <r>
      <t>Coefficient for R</t>
    </r>
    <r>
      <rPr>
        <vertAlign val="subscript"/>
        <sz val="11"/>
        <color theme="1"/>
        <rFont val="Arial"/>
        <family val="2"/>
      </rPr>
      <t>bias1</t>
    </r>
    <r>
      <rPr>
        <sz val="11"/>
        <color theme="1"/>
        <rFont val="Arial"/>
        <family val="2"/>
      </rPr>
      <t>, K</t>
    </r>
    <r>
      <rPr>
        <vertAlign val="subscript"/>
        <sz val="11"/>
        <color theme="1"/>
        <rFont val="Arial"/>
        <family val="2"/>
      </rPr>
      <t>VC</t>
    </r>
    <r>
      <rPr>
        <sz val="11"/>
        <color theme="1"/>
        <rFont val="Arial"/>
        <family val="2"/>
      </rPr>
      <t xml:space="preserve"> =</t>
    </r>
    <phoneticPr fontId="25" type="noConversion"/>
  </si>
  <si>
    <r>
      <t>Peak Current During Min Input, i</t>
    </r>
    <r>
      <rPr>
        <vertAlign val="subscript"/>
        <sz val="11"/>
        <color theme="1"/>
        <rFont val="Arial"/>
        <family val="2"/>
      </rPr>
      <t>pk_min</t>
    </r>
    <r>
      <rPr>
        <sz val="11"/>
        <color theme="1"/>
        <rFont val="Arial"/>
        <family val="2"/>
      </rPr>
      <t xml:space="preserve"> =</t>
    </r>
    <phoneticPr fontId="25" type="noConversion"/>
  </si>
  <si>
    <r>
      <t>Negative Magnetizing Inductor Current at Min, I</t>
    </r>
    <r>
      <rPr>
        <vertAlign val="subscript"/>
        <sz val="11"/>
        <color theme="1"/>
        <rFont val="Arial"/>
        <family val="2"/>
      </rPr>
      <t xml:space="preserve">M_nega_min </t>
    </r>
    <r>
      <rPr>
        <sz val="11"/>
        <color theme="1"/>
        <rFont val="Arial"/>
        <family val="2"/>
      </rPr>
      <t>=</t>
    </r>
    <phoneticPr fontId="25" type="noConversion"/>
  </si>
  <si>
    <r>
      <t>Negative Magnetizing Inductor Current at Min, I</t>
    </r>
    <r>
      <rPr>
        <vertAlign val="subscript"/>
        <sz val="11"/>
        <color theme="1"/>
        <rFont val="Arial"/>
        <family val="2"/>
      </rPr>
      <t xml:space="preserve">M_nega_OPP_min </t>
    </r>
    <r>
      <rPr>
        <sz val="11"/>
        <color theme="1"/>
        <rFont val="Arial"/>
        <family val="2"/>
      </rPr>
      <t>=</t>
    </r>
    <phoneticPr fontId="25" type="noConversion"/>
  </si>
  <si>
    <r>
      <t>Switching Frequency During Min Input, f</t>
    </r>
    <r>
      <rPr>
        <vertAlign val="subscript"/>
        <sz val="11"/>
        <color theme="1"/>
        <rFont val="Arial"/>
        <family val="2"/>
      </rPr>
      <t xml:space="preserve">sw_OPP_min </t>
    </r>
    <r>
      <rPr>
        <sz val="11"/>
        <color theme="1"/>
        <rFont val="Arial"/>
        <family val="2"/>
      </rPr>
      <t>=</t>
    </r>
    <phoneticPr fontId="25" type="noConversion"/>
  </si>
  <si>
    <r>
      <t>Input Current at Min Input, I</t>
    </r>
    <r>
      <rPr>
        <vertAlign val="subscript"/>
        <sz val="11"/>
        <color theme="1"/>
        <rFont val="Arial"/>
        <family val="2"/>
      </rPr>
      <t xml:space="preserve">IN_OPP_min </t>
    </r>
    <r>
      <rPr>
        <sz val="11"/>
        <color theme="1"/>
        <rFont val="Arial"/>
        <family val="2"/>
      </rPr>
      <t>=</t>
    </r>
    <phoneticPr fontId="25" type="noConversion"/>
  </si>
  <si>
    <r>
      <t xml:space="preserve"> i</t>
    </r>
    <r>
      <rPr>
        <vertAlign val="subscript"/>
        <sz val="11"/>
        <color theme="1"/>
        <rFont val="Arial"/>
        <family val="2"/>
      </rPr>
      <t>pk_OPP_run</t>
    </r>
    <r>
      <rPr>
        <sz val="11"/>
        <color theme="1"/>
        <rFont val="Arial"/>
        <family val="2"/>
      </rPr>
      <t xml:space="preserve"> =</t>
    </r>
    <phoneticPr fontId="25" type="noConversion"/>
  </si>
  <si>
    <r>
      <t>Peak Current During OPP at Run Input, i</t>
    </r>
    <r>
      <rPr>
        <vertAlign val="subscript"/>
        <sz val="11"/>
        <color theme="1"/>
        <rFont val="Arial"/>
        <family val="2"/>
      </rPr>
      <t>pk_OPP_run</t>
    </r>
    <r>
      <rPr>
        <sz val="11"/>
        <color theme="1"/>
        <rFont val="Arial"/>
        <family val="2"/>
      </rPr>
      <t xml:space="preserve"> =</t>
    </r>
    <phoneticPr fontId="25" type="noConversion"/>
  </si>
  <si>
    <r>
      <t>Peak Current During OPP at Max Input, i</t>
    </r>
    <r>
      <rPr>
        <vertAlign val="subscript"/>
        <sz val="11"/>
        <color theme="1"/>
        <rFont val="Arial"/>
        <family val="2"/>
      </rPr>
      <t>pk_OPP_max</t>
    </r>
    <r>
      <rPr>
        <sz val="11"/>
        <color theme="1"/>
        <rFont val="Arial"/>
        <family val="2"/>
      </rPr>
      <t xml:space="preserve"> =</t>
    </r>
    <phoneticPr fontId="25" type="noConversion"/>
  </si>
  <si>
    <r>
      <t xml:space="preserve"> i</t>
    </r>
    <r>
      <rPr>
        <vertAlign val="subscript"/>
        <sz val="11"/>
        <color theme="1"/>
        <rFont val="Arial"/>
        <family val="2"/>
      </rPr>
      <t>pk_OPP_max</t>
    </r>
    <r>
      <rPr>
        <sz val="11"/>
        <color theme="1"/>
        <rFont val="Arial"/>
        <family val="2"/>
      </rPr>
      <t xml:space="preserve"> =</t>
    </r>
    <phoneticPr fontId="25" type="noConversion"/>
  </si>
  <si>
    <r>
      <t xml:space="preserve"> i</t>
    </r>
    <r>
      <rPr>
        <vertAlign val="subscript"/>
        <sz val="11"/>
        <color theme="1"/>
        <rFont val="Arial"/>
        <family val="2"/>
      </rPr>
      <t>pk_OPP_start</t>
    </r>
    <r>
      <rPr>
        <sz val="11"/>
        <color theme="1"/>
        <rFont val="Arial"/>
        <family val="2"/>
      </rPr>
      <t xml:space="preserve"> =</t>
    </r>
    <phoneticPr fontId="25" type="noConversion"/>
  </si>
  <si>
    <r>
      <t>Peak Current During OPP at Start, i</t>
    </r>
    <r>
      <rPr>
        <vertAlign val="subscript"/>
        <sz val="11"/>
        <color theme="1"/>
        <rFont val="Arial"/>
        <family val="2"/>
      </rPr>
      <t>pk_OPP_start</t>
    </r>
    <r>
      <rPr>
        <sz val="11"/>
        <color theme="1"/>
        <rFont val="Arial"/>
        <family val="2"/>
      </rPr>
      <t xml:space="preserve"> =</t>
    </r>
    <phoneticPr fontId="25" type="noConversion"/>
  </si>
  <si>
    <r>
      <t>Q</t>
    </r>
    <r>
      <rPr>
        <vertAlign val="subscript"/>
        <sz val="11"/>
        <color theme="1"/>
        <rFont val="Arial"/>
        <family val="2"/>
      </rPr>
      <t>g_Qh</t>
    </r>
    <r>
      <rPr>
        <sz val="11"/>
        <color theme="1"/>
        <rFont val="Arial"/>
        <family val="2"/>
      </rPr>
      <t xml:space="preserve"> =</t>
    </r>
    <phoneticPr fontId="25" type="noConversion"/>
  </si>
  <si>
    <t>nC</t>
    <phoneticPr fontId="25" type="noConversion"/>
  </si>
  <si>
    <r>
      <t>Bootstrap Diode's Forward Voltage, V</t>
    </r>
    <r>
      <rPr>
        <vertAlign val="subscript"/>
        <sz val="11"/>
        <color theme="1"/>
        <rFont val="Arial"/>
        <family val="2"/>
      </rPr>
      <t>f_BootD</t>
    </r>
    <r>
      <rPr>
        <sz val="11"/>
        <color theme="1"/>
        <rFont val="Arial"/>
        <family val="2"/>
      </rPr>
      <t xml:space="preserve"> =</t>
    </r>
    <phoneticPr fontId="25" type="noConversion"/>
  </si>
  <si>
    <t>V</t>
    <phoneticPr fontId="25" type="noConversion"/>
  </si>
  <si>
    <r>
      <t xml:space="preserve"> i</t>
    </r>
    <r>
      <rPr>
        <vertAlign val="subscript"/>
        <sz val="11"/>
        <color theme="1"/>
        <rFont val="Arial"/>
        <family val="2"/>
      </rPr>
      <t>pk_BUR_min</t>
    </r>
    <r>
      <rPr>
        <sz val="11"/>
        <color theme="1"/>
        <rFont val="Arial"/>
        <family val="2"/>
      </rPr>
      <t xml:space="preserve"> =</t>
    </r>
    <phoneticPr fontId="25" type="noConversion"/>
  </si>
  <si>
    <r>
      <t>I</t>
    </r>
    <r>
      <rPr>
        <vertAlign val="subscript"/>
        <sz val="11"/>
        <color theme="1"/>
        <rFont val="Arial"/>
        <family val="2"/>
      </rPr>
      <t xml:space="preserve">M_nega_BUR_min </t>
    </r>
    <r>
      <rPr>
        <sz val="11"/>
        <color theme="1"/>
        <rFont val="Arial"/>
        <family val="2"/>
      </rPr>
      <t>=</t>
    </r>
    <phoneticPr fontId="25" type="noConversion"/>
  </si>
  <si>
    <r>
      <t>f</t>
    </r>
    <r>
      <rPr>
        <vertAlign val="subscript"/>
        <sz val="11"/>
        <color theme="1"/>
        <rFont val="Arial"/>
        <family val="2"/>
      </rPr>
      <t xml:space="preserve">sw_BUR_min </t>
    </r>
    <r>
      <rPr>
        <sz val="11"/>
        <color theme="1"/>
        <rFont val="Arial"/>
        <family val="2"/>
      </rPr>
      <t>=</t>
    </r>
    <phoneticPr fontId="25" type="noConversion"/>
  </si>
  <si>
    <r>
      <t xml:space="preserve"> D</t>
    </r>
    <r>
      <rPr>
        <vertAlign val="subscript"/>
        <sz val="11"/>
        <color theme="1"/>
        <rFont val="Arial"/>
        <family val="2"/>
      </rPr>
      <t xml:space="preserve">BUR_min </t>
    </r>
    <r>
      <rPr>
        <sz val="11"/>
        <color theme="1"/>
        <rFont val="Arial"/>
        <family val="2"/>
      </rPr>
      <t>=</t>
    </r>
    <phoneticPr fontId="25" type="noConversion"/>
  </si>
  <si>
    <r>
      <t>I</t>
    </r>
    <r>
      <rPr>
        <vertAlign val="subscript"/>
        <sz val="11"/>
        <color theme="1"/>
        <rFont val="Arial"/>
        <family val="2"/>
      </rPr>
      <t xml:space="preserve">IN_BUR_min </t>
    </r>
    <r>
      <rPr>
        <sz val="11"/>
        <color theme="1"/>
        <rFont val="Arial"/>
        <family val="2"/>
      </rPr>
      <t>=</t>
    </r>
    <phoneticPr fontId="25" type="noConversion"/>
  </si>
  <si>
    <r>
      <t>C</t>
    </r>
    <r>
      <rPr>
        <vertAlign val="subscript"/>
        <sz val="11"/>
        <color theme="1"/>
        <rFont val="Arial"/>
        <family val="2"/>
      </rPr>
      <t>boot_min</t>
    </r>
    <r>
      <rPr>
        <sz val="11"/>
        <color theme="1"/>
        <rFont val="Arial"/>
        <family val="2"/>
      </rPr>
      <t xml:space="preserve"> =</t>
    </r>
    <phoneticPr fontId="25" type="noConversion"/>
  </si>
  <si>
    <r>
      <t>Driver Charge, Q</t>
    </r>
    <r>
      <rPr>
        <vertAlign val="subscript"/>
        <sz val="11"/>
        <color theme="1"/>
        <rFont val="Arial"/>
        <family val="2"/>
      </rPr>
      <t>g_Qh</t>
    </r>
    <r>
      <rPr>
        <sz val="11"/>
        <color theme="1"/>
        <rFont val="Arial"/>
        <family val="2"/>
      </rPr>
      <t xml:space="preserve"> =</t>
    </r>
    <phoneticPr fontId="25" type="noConversion"/>
  </si>
  <si>
    <r>
      <t>Peak Current During BUR and Min Input, i</t>
    </r>
    <r>
      <rPr>
        <vertAlign val="subscript"/>
        <sz val="11"/>
        <color theme="1"/>
        <rFont val="Arial"/>
        <family val="2"/>
      </rPr>
      <t>pk_BUR_min</t>
    </r>
    <r>
      <rPr>
        <sz val="11"/>
        <color theme="1"/>
        <rFont val="Arial"/>
        <family val="2"/>
      </rPr>
      <t xml:space="preserve"> =</t>
    </r>
    <phoneticPr fontId="25" type="noConversion"/>
  </si>
  <si>
    <r>
      <t>Negative Magnetizing Inductor Current at BUR and Min Input, I</t>
    </r>
    <r>
      <rPr>
        <vertAlign val="subscript"/>
        <sz val="11"/>
        <color theme="1"/>
        <rFont val="Arial"/>
        <family val="2"/>
      </rPr>
      <t xml:space="preserve">M_nega_BUR_min </t>
    </r>
    <r>
      <rPr>
        <sz val="11"/>
        <color theme="1"/>
        <rFont val="Arial"/>
        <family val="2"/>
      </rPr>
      <t>=</t>
    </r>
    <phoneticPr fontId="25" type="noConversion"/>
  </si>
  <si>
    <r>
      <t>Switching Frequency During BUR and Min Input, f</t>
    </r>
    <r>
      <rPr>
        <vertAlign val="subscript"/>
        <sz val="11"/>
        <color theme="1"/>
        <rFont val="Arial"/>
        <family val="2"/>
      </rPr>
      <t xml:space="preserve">sw_BUR_min </t>
    </r>
    <r>
      <rPr>
        <sz val="11"/>
        <color theme="1"/>
        <rFont val="Arial"/>
        <family val="2"/>
      </rPr>
      <t>=</t>
    </r>
    <phoneticPr fontId="25" type="noConversion"/>
  </si>
  <si>
    <r>
      <t>OPP Input Current at BUR and Min Input, I</t>
    </r>
    <r>
      <rPr>
        <vertAlign val="subscript"/>
        <sz val="11"/>
        <color theme="1"/>
        <rFont val="Arial"/>
        <family val="2"/>
      </rPr>
      <t xml:space="preserve">IN_BUR_min </t>
    </r>
    <r>
      <rPr>
        <sz val="11"/>
        <color theme="1"/>
        <rFont val="Arial"/>
        <family val="2"/>
      </rPr>
      <t>=</t>
    </r>
    <phoneticPr fontId="25" type="noConversion"/>
  </si>
  <si>
    <r>
      <t>C</t>
    </r>
    <r>
      <rPr>
        <vertAlign val="subscript"/>
        <sz val="11"/>
        <color theme="1"/>
        <rFont val="Arial"/>
        <family val="2"/>
      </rPr>
      <t>boot_max</t>
    </r>
    <r>
      <rPr>
        <sz val="11"/>
        <color theme="1"/>
        <rFont val="Arial"/>
        <family val="2"/>
      </rPr>
      <t xml:space="preserve"> =</t>
    </r>
    <phoneticPr fontId="25" type="noConversion"/>
  </si>
  <si>
    <r>
      <t>C</t>
    </r>
    <r>
      <rPr>
        <vertAlign val="subscript"/>
        <sz val="11"/>
        <color theme="1"/>
        <rFont val="Arial"/>
        <family val="2"/>
      </rPr>
      <t>boot</t>
    </r>
    <r>
      <rPr>
        <sz val="11"/>
        <color theme="1"/>
        <rFont val="Arial"/>
        <family val="2"/>
      </rPr>
      <t xml:space="preserve"> =</t>
    </r>
    <phoneticPr fontId="25" type="noConversion"/>
  </si>
  <si>
    <r>
      <t>V</t>
    </r>
    <r>
      <rPr>
        <vertAlign val="subscript"/>
        <sz val="11"/>
        <color theme="1"/>
        <rFont val="Arial"/>
        <family val="2"/>
      </rPr>
      <t>DD</t>
    </r>
    <r>
      <rPr>
        <sz val="11"/>
        <color theme="1"/>
        <rFont val="Arial"/>
        <family val="2"/>
      </rPr>
      <t xml:space="preserve"> =</t>
    </r>
    <phoneticPr fontId="25" type="noConversion"/>
  </si>
  <si>
    <r>
      <t>C</t>
    </r>
    <r>
      <rPr>
        <vertAlign val="subscript"/>
        <sz val="11"/>
        <color theme="1"/>
        <rFont val="Arial"/>
        <family val="2"/>
      </rPr>
      <t xml:space="preserve">DD2 </t>
    </r>
    <r>
      <rPr>
        <sz val="11"/>
        <color theme="1"/>
        <rFont val="Arial"/>
        <family val="2"/>
      </rPr>
      <t>=</t>
    </r>
    <phoneticPr fontId="25" type="noConversion"/>
  </si>
  <si>
    <r>
      <t>R</t>
    </r>
    <r>
      <rPr>
        <vertAlign val="subscript"/>
        <sz val="11"/>
        <color theme="1"/>
        <rFont val="Arial"/>
        <family val="2"/>
      </rPr>
      <t xml:space="preserve">DD2 </t>
    </r>
    <r>
      <rPr>
        <sz val="11"/>
        <color theme="1"/>
        <rFont val="Arial"/>
        <family val="2"/>
      </rPr>
      <t>=</t>
    </r>
    <phoneticPr fontId="25" type="noConversion"/>
  </si>
  <si>
    <t>Voltage Divider for Shunt Regulator</t>
    <phoneticPr fontId="25" type="noConversion"/>
  </si>
  <si>
    <t>nA</t>
    <phoneticPr fontId="25" type="noConversion"/>
  </si>
  <si>
    <r>
      <t>Maximum Reference Input Current, I</t>
    </r>
    <r>
      <rPr>
        <vertAlign val="subscript"/>
        <sz val="11"/>
        <color theme="1"/>
        <rFont val="Arial"/>
        <family val="2"/>
      </rPr>
      <t>ref_431_max</t>
    </r>
    <r>
      <rPr>
        <sz val="11"/>
        <color theme="1"/>
        <rFont val="Arial"/>
        <family val="2"/>
      </rPr>
      <t xml:space="preserve"> =</t>
    </r>
    <phoneticPr fontId="25" type="noConversion"/>
  </si>
  <si>
    <t>kΩ</t>
    <phoneticPr fontId="25" type="noConversion"/>
  </si>
  <si>
    <r>
      <t>R</t>
    </r>
    <r>
      <rPr>
        <vertAlign val="subscript"/>
        <sz val="11"/>
        <color theme="1"/>
        <rFont val="Arial"/>
        <family val="2"/>
      </rPr>
      <t xml:space="preserve">vo2_act </t>
    </r>
    <r>
      <rPr>
        <sz val="11"/>
        <color theme="1"/>
        <rFont val="Arial"/>
        <family val="2"/>
      </rPr>
      <t>=</t>
    </r>
    <phoneticPr fontId="25" type="noConversion"/>
  </si>
  <si>
    <r>
      <t>R</t>
    </r>
    <r>
      <rPr>
        <vertAlign val="subscript"/>
        <sz val="11"/>
        <color theme="1"/>
        <rFont val="Arial"/>
        <family val="2"/>
      </rPr>
      <t>vo2</t>
    </r>
    <r>
      <rPr>
        <sz val="11"/>
        <color theme="1"/>
        <rFont val="Arial"/>
        <family val="2"/>
      </rPr>
      <t xml:space="preserve"> =</t>
    </r>
    <phoneticPr fontId="25" type="noConversion"/>
  </si>
  <si>
    <r>
      <t>R</t>
    </r>
    <r>
      <rPr>
        <vertAlign val="subscript"/>
        <sz val="11"/>
        <color theme="1"/>
        <rFont val="Arial"/>
        <family val="2"/>
      </rPr>
      <t>vo1_rec</t>
    </r>
    <r>
      <rPr>
        <sz val="11"/>
        <color theme="1"/>
        <rFont val="Arial"/>
        <family val="2"/>
      </rPr>
      <t xml:space="preserve"> =</t>
    </r>
    <phoneticPr fontId="25" type="noConversion"/>
  </si>
  <si>
    <r>
      <t>R</t>
    </r>
    <r>
      <rPr>
        <vertAlign val="subscript"/>
        <sz val="11"/>
        <color theme="1"/>
        <rFont val="Arial"/>
        <family val="2"/>
      </rPr>
      <t>vo1_act</t>
    </r>
    <r>
      <rPr>
        <sz val="11"/>
        <color theme="1"/>
        <rFont val="Arial"/>
        <family val="2"/>
      </rPr>
      <t xml:space="preserve"> =</t>
    </r>
    <phoneticPr fontId="25" type="noConversion"/>
  </si>
  <si>
    <r>
      <t>R</t>
    </r>
    <r>
      <rPr>
        <vertAlign val="subscript"/>
        <sz val="11"/>
        <color theme="1"/>
        <rFont val="Arial"/>
        <family val="2"/>
      </rPr>
      <t xml:space="preserve">vo1 </t>
    </r>
    <r>
      <rPr>
        <sz val="11"/>
        <color theme="1"/>
        <rFont val="Arial"/>
        <family val="2"/>
      </rPr>
      <t>=</t>
    </r>
    <phoneticPr fontId="25" type="noConversion"/>
  </si>
  <si>
    <r>
      <t>V</t>
    </r>
    <r>
      <rPr>
        <vertAlign val="subscript"/>
        <sz val="11"/>
        <color theme="1"/>
        <rFont val="Arial"/>
        <family val="2"/>
      </rPr>
      <t>o_typ</t>
    </r>
    <r>
      <rPr>
        <sz val="11"/>
        <color theme="1"/>
        <rFont val="Arial"/>
        <family val="2"/>
      </rPr>
      <t xml:space="preserve"> =</t>
    </r>
    <phoneticPr fontId="25" type="noConversion"/>
  </si>
  <si>
    <t>nF</t>
    <phoneticPr fontId="25" type="noConversion"/>
  </si>
  <si>
    <r>
      <t>C</t>
    </r>
    <r>
      <rPr>
        <vertAlign val="subscript"/>
        <sz val="11"/>
        <color theme="1"/>
        <rFont val="Arial"/>
        <family val="2"/>
      </rPr>
      <t>diff_rec</t>
    </r>
    <r>
      <rPr>
        <sz val="11"/>
        <color theme="1"/>
        <rFont val="Arial"/>
        <family val="2"/>
      </rPr>
      <t xml:space="preserve"> =</t>
    </r>
    <phoneticPr fontId="25" type="noConversion"/>
  </si>
  <si>
    <r>
      <t>C</t>
    </r>
    <r>
      <rPr>
        <vertAlign val="subscript"/>
        <sz val="11"/>
        <color theme="1"/>
        <rFont val="Arial"/>
        <family val="2"/>
      </rPr>
      <t>diff_act</t>
    </r>
    <r>
      <rPr>
        <sz val="11"/>
        <color theme="1"/>
        <rFont val="Arial"/>
        <family val="2"/>
      </rPr>
      <t xml:space="preserve"> =</t>
    </r>
    <phoneticPr fontId="25" type="noConversion"/>
  </si>
  <si>
    <r>
      <t>C</t>
    </r>
    <r>
      <rPr>
        <vertAlign val="subscript"/>
        <sz val="11"/>
        <color theme="1"/>
        <rFont val="Arial"/>
        <family val="2"/>
      </rPr>
      <t>diff</t>
    </r>
    <r>
      <rPr>
        <sz val="11"/>
        <color theme="1"/>
        <rFont val="Arial"/>
        <family val="2"/>
      </rPr>
      <t xml:space="preserve"> =</t>
    </r>
    <phoneticPr fontId="25" type="noConversion"/>
  </si>
  <si>
    <r>
      <t>R</t>
    </r>
    <r>
      <rPr>
        <vertAlign val="subscript"/>
        <sz val="11"/>
        <color theme="1"/>
        <rFont val="Arial"/>
        <family val="2"/>
      </rPr>
      <t>diff_rec</t>
    </r>
    <r>
      <rPr>
        <sz val="11"/>
        <color theme="1"/>
        <rFont val="Arial"/>
        <family val="2"/>
      </rPr>
      <t xml:space="preserve"> =</t>
    </r>
    <phoneticPr fontId="25" type="noConversion"/>
  </si>
  <si>
    <r>
      <t>R</t>
    </r>
    <r>
      <rPr>
        <vertAlign val="subscript"/>
        <sz val="11"/>
        <color theme="1"/>
        <rFont val="Arial"/>
        <family val="2"/>
      </rPr>
      <t>diff_act</t>
    </r>
    <r>
      <rPr>
        <sz val="11"/>
        <color theme="1"/>
        <rFont val="Arial"/>
        <family val="2"/>
      </rPr>
      <t xml:space="preserve"> =</t>
    </r>
    <phoneticPr fontId="25" type="noConversion"/>
  </si>
  <si>
    <r>
      <t>R</t>
    </r>
    <r>
      <rPr>
        <vertAlign val="subscript"/>
        <sz val="11"/>
        <color theme="1"/>
        <rFont val="Arial"/>
        <family val="2"/>
      </rPr>
      <t>diff</t>
    </r>
    <r>
      <rPr>
        <sz val="11"/>
        <color theme="1"/>
        <rFont val="Arial"/>
        <family val="2"/>
      </rPr>
      <t xml:space="preserve"> =</t>
    </r>
    <phoneticPr fontId="25" type="noConversion"/>
  </si>
  <si>
    <r>
      <t>C</t>
    </r>
    <r>
      <rPr>
        <vertAlign val="subscript"/>
        <sz val="11"/>
        <color theme="1"/>
        <rFont val="Arial"/>
        <family val="2"/>
      </rPr>
      <t>int_rec</t>
    </r>
    <r>
      <rPr>
        <sz val="11"/>
        <color theme="1"/>
        <rFont val="Arial"/>
        <family val="2"/>
      </rPr>
      <t xml:space="preserve"> =</t>
    </r>
    <phoneticPr fontId="25" type="noConversion"/>
  </si>
  <si>
    <r>
      <t>C</t>
    </r>
    <r>
      <rPr>
        <vertAlign val="subscript"/>
        <sz val="11"/>
        <color theme="1"/>
        <rFont val="Arial"/>
        <family val="2"/>
      </rPr>
      <t>int_act</t>
    </r>
    <r>
      <rPr>
        <sz val="11"/>
        <color theme="1"/>
        <rFont val="Arial"/>
        <family val="2"/>
      </rPr>
      <t xml:space="preserve"> =</t>
    </r>
    <phoneticPr fontId="25" type="noConversion"/>
  </si>
  <si>
    <r>
      <t>C</t>
    </r>
    <r>
      <rPr>
        <vertAlign val="subscript"/>
        <sz val="11"/>
        <color theme="1"/>
        <rFont val="Arial"/>
        <family val="2"/>
      </rPr>
      <t>int</t>
    </r>
    <r>
      <rPr>
        <sz val="11"/>
        <color theme="1"/>
        <rFont val="Arial"/>
        <family val="2"/>
      </rPr>
      <t xml:space="preserve"> =</t>
    </r>
    <phoneticPr fontId="25" type="noConversion"/>
  </si>
  <si>
    <t>nF</t>
    <phoneticPr fontId="25" type="noConversion"/>
  </si>
  <si>
    <t>kΩ</t>
    <phoneticPr fontId="25" type="noConversion"/>
  </si>
  <si>
    <t>MΩ</t>
    <phoneticPr fontId="25" type="noConversion"/>
  </si>
  <si>
    <r>
      <t>V</t>
    </r>
    <r>
      <rPr>
        <vertAlign val="subscript"/>
        <sz val="11"/>
        <color theme="1"/>
        <rFont val="Arial"/>
        <family val="2"/>
      </rPr>
      <t xml:space="preserve">clamp_max_SR </t>
    </r>
    <r>
      <rPr>
        <sz val="11"/>
        <color theme="1"/>
        <rFont val="Arial"/>
        <family val="2"/>
      </rPr>
      <t>=</t>
    </r>
    <phoneticPr fontId="25" type="noConversion"/>
  </si>
  <si>
    <r>
      <t>V</t>
    </r>
    <r>
      <rPr>
        <vertAlign val="subscript"/>
        <sz val="11"/>
        <color theme="1"/>
        <rFont val="Arial"/>
        <family val="2"/>
      </rPr>
      <t xml:space="preserve">clamp_max </t>
    </r>
    <r>
      <rPr>
        <sz val="11"/>
        <color theme="1"/>
        <rFont val="Arial"/>
        <family val="2"/>
      </rPr>
      <t>=</t>
    </r>
    <phoneticPr fontId="25" type="noConversion"/>
  </si>
  <si>
    <r>
      <t>V</t>
    </r>
    <r>
      <rPr>
        <vertAlign val="subscript"/>
        <sz val="11"/>
        <color theme="1"/>
        <rFont val="Arial"/>
        <family val="2"/>
      </rPr>
      <t xml:space="preserve">clamp_max_QH </t>
    </r>
    <r>
      <rPr>
        <sz val="11"/>
        <color theme="1"/>
        <rFont val="Arial"/>
        <family val="2"/>
      </rPr>
      <t>=</t>
    </r>
    <phoneticPr fontId="25" type="noConversion"/>
  </si>
  <si>
    <r>
      <t>Maximum Clamp Voltage on SR, V</t>
    </r>
    <r>
      <rPr>
        <vertAlign val="subscript"/>
        <sz val="11"/>
        <color theme="1"/>
        <rFont val="Arial"/>
        <family val="2"/>
      </rPr>
      <t>clamp_max_SR</t>
    </r>
    <r>
      <rPr>
        <sz val="11"/>
        <color theme="1"/>
        <rFont val="Arial"/>
        <family val="2"/>
      </rPr>
      <t xml:space="preserve"> =</t>
    </r>
    <phoneticPr fontId="25" type="noConversion"/>
  </si>
  <si>
    <r>
      <t>Maximum Clamp Voltage on QH, V</t>
    </r>
    <r>
      <rPr>
        <vertAlign val="subscript"/>
        <sz val="11"/>
        <color theme="1"/>
        <rFont val="Arial"/>
        <family val="2"/>
      </rPr>
      <t>clamp_max_QH</t>
    </r>
    <r>
      <rPr>
        <sz val="11"/>
        <color theme="1"/>
        <rFont val="Arial"/>
        <family val="2"/>
      </rPr>
      <t xml:space="preserve"> =</t>
    </r>
    <phoneticPr fontId="25" type="noConversion"/>
  </si>
  <si>
    <r>
      <t>Maximum Clamp Voltage, V</t>
    </r>
    <r>
      <rPr>
        <vertAlign val="subscript"/>
        <sz val="11"/>
        <color theme="1"/>
        <rFont val="Arial"/>
        <family val="2"/>
      </rPr>
      <t>clamp_max</t>
    </r>
    <r>
      <rPr>
        <sz val="11"/>
        <color theme="1"/>
        <rFont val="Arial"/>
        <family val="2"/>
      </rPr>
      <t xml:space="preserve"> =</t>
    </r>
    <phoneticPr fontId="25" type="noConversion"/>
  </si>
  <si>
    <r>
      <rPr>
        <sz val="11"/>
        <color theme="1"/>
        <rFont val="FangSong"/>
        <family val="3"/>
        <charset val="134"/>
      </rPr>
      <t>≈</t>
    </r>
    <r>
      <rPr>
        <sz val="11"/>
        <color theme="1"/>
        <rFont val="Arial"/>
        <family val="2"/>
      </rPr>
      <t>R</t>
    </r>
    <r>
      <rPr>
        <vertAlign val="subscript"/>
        <sz val="11"/>
        <color theme="1"/>
        <rFont val="Arial"/>
        <family val="2"/>
      </rPr>
      <t>OPP</t>
    </r>
    <r>
      <rPr>
        <sz val="11"/>
        <color theme="1"/>
        <rFont val="Arial"/>
        <family val="2"/>
      </rPr>
      <t>*C</t>
    </r>
    <r>
      <rPr>
        <vertAlign val="subscript"/>
        <sz val="11"/>
        <color theme="1"/>
        <rFont val="Arial"/>
        <family val="2"/>
      </rPr>
      <t>CS</t>
    </r>
    <phoneticPr fontId="25" type="noConversion"/>
  </si>
  <si>
    <t>Primary to Secondary Turns Ratio Used in Calculations</t>
    <phoneticPr fontId="25" type="noConversion"/>
  </si>
  <si>
    <r>
      <t>Switching Node Capacitance, C</t>
    </r>
    <r>
      <rPr>
        <b/>
        <i/>
        <vertAlign val="subscript"/>
        <sz val="12"/>
        <color theme="0"/>
        <rFont val="Arial"/>
        <family val="2"/>
      </rPr>
      <t>SW</t>
    </r>
    <phoneticPr fontId="25" type="noConversion"/>
  </si>
  <si>
    <r>
      <t>Duty Cycle During OPP at Run Input, D</t>
    </r>
    <r>
      <rPr>
        <vertAlign val="subscript"/>
        <sz val="11"/>
        <color theme="1"/>
        <rFont val="Arial"/>
        <family val="2"/>
      </rPr>
      <t>OPP_run</t>
    </r>
    <r>
      <rPr>
        <sz val="11"/>
        <color theme="1"/>
        <rFont val="Arial"/>
        <family val="2"/>
      </rPr>
      <t xml:space="preserve"> =</t>
    </r>
    <phoneticPr fontId="25" type="noConversion"/>
  </si>
  <si>
    <r>
      <t>Duty Cycle During OPP at Min Input, D</t>
    </r>
    <r>
      <rPr>
        <vertAlign val="subscript"/>
        <sz val="11"/>
        <color theme="1"/>
        <rFont val="Arial"/>
        <family val="2"/>
      </rPr>
      <t>OPP_min</t>
    </r>
    <r>
      <rPr>
        <sz val="11"/>
        <color theme="1"/>
        <rFont val="Arial"/>
        <family val="2"/>
      </rPr>
      <t xml:space="preserve"> =</t>
    </r>
    <phoneticPr fontId="25" type="noConversion"/>
  </si>
  <si>
    <r>
      <t>Duty Cycle During OPP at Max Input, D</t>
    </r>
    <r>
      <rPr>
        <vertAlign val="subscript"/>
        <sz val="11"/>
        <color theme="1"/>
        <rFont val="Arial"/>
        <family val="2"/>
      </rPr>
      <t>OPP_max</t>
    </r>
    <r>
      <rPr>
        <sz val="11"/>
        <color theme="1"/>
        <rFont val="Arial"/>
        <family val="2"/>
      </rPr>
      <t xml:space="preserve"> =</t>
    </r>
    <phoneticPr fontId="25" type="noConversion"/>
  </si>
  <si>
    <r>
      <t>Duty Cycle During BUR, D</t>
    </r>
    <r>
      <rPr>
        <vertAlign val="subscript"/>
        <sz val="11"/>
        <color theme="1"/>
        <rFont val="Arial"/>
        <family val="2"/>
      </rPr>
      <t>OPP_BUR</t>
    </r>
    <r>
      <rPr>
        <sz val="11"/>
        <color theme="1"/>
        <rFont val="Arial"/>
        <family val="2"/>
      </rPr>
      <t xml:space="preserve"> =</t>
    </r>
    <phoneticPr fontId="25" type="noConversion"/>
  </si>
  <si>
    <r>
      <t>Duty Cycle During BUR and Min Input, D</t>
    </r>
    <r>
      <rPr>
        <vertAlign val="subscript"/>
        <sz val="11"/>
        <color theme="1"/>
        <rFont val="Arial"/>
        <family val="2"/>
      </rPr>
      <t>OPP_BUR_min</t>
    </r>
    <r>
      <rPr>
        <sz val="11"/>
        <color theme="1"/>
        <rFont val="Arial"/>
        <family val="2"/>
      </rPr>
      <t xml:space="preserve"> =</t>
    </r>
    <phoneticPr fontId="25" type="noConversion"/>
  </si>
  <si>
    <r>
      <t>Duty Cycle During OPP at Start, D</t>
    </r>
    <r>
      <rPr>
        <vertAlign val="subscript"/>
        <sz val="11"/>
        <color theme="1"/>
        <rFont val="Arial"/>
        <family val="2"/>
      </rPr>
      <t>OPP_start</t>
    </r>
    <r>
      <rPr>
        <sz val="11"/>
        <color theme="1"/>
        <rFont val="Arial"/>
        <family val="2"/>
      </rPr>
      <t xml:space="preserve"> =</t>
    </r>
    <phoneticPr fontId="25" type="noConversion"/>
  </si>
  <si>
    <r>
      <t>Duty Cycle During Min Input, D</t>
    </r>
    <r>
      <rPr>
        <vertAlign val="subscript"/>
        <sz val="11"/>
        <color theme="1"/>
        <rFont val="Arial"/>
        <family val="2"/>
      </rPr>
      <t>OPP_min</t>
    </r>
    <r>
      <rPr>
        <sz val="11"/>
        <color theme="1"/>
        <rFont val="Arial"/>
        <family val="2"/>
      </rPr>
      <t xml:space="preserve"> =</t>
    </r>
    <phoneticPr fontId="25" type="noConversion"/>
  </si>
  <si>
    <t>Reference Designator</t>
  </si>
  <si>
    <t>Description/Comments</t>
  </si>
  <si>
    <t>Power Dissipation:</t>
  </si>
  <si>
    <r>
      <t>R</t>
    </r>
    <r>
      <rPr>
        <b/>
        <vertAlign val="subscript"/>
        <sz val="12"/>
        <color rgb="FFFF0000"/>
        <rFont val="Arial"/>
        <family val="2"/>
      </rPr>
      <t>CS</t>
    </r>
  </si>
  <si>
    <t>Value:</t>
  </si>
  <si>
    <t>±1%</t>
  </si>
  <si>
    <t>Type:</t>
  </si>
  <si>
    <t>kΩ</t>
  </si>
  <si>
    <r>
      <t>P</t>
    </r>
    <r>
      <rPr>
        <vertAlign val="subscript"/>
        <sz val="11"/>
        <color theme="1"/>
        <rFont val="Arial"/>
        <family val="2"/>
      </rPr>
      <t>Rcs</t>
    </r>
    <r>
      <rPr>
        <sz val="11"/>
        <color theme="1"/>
        <rFont val="Arial"/>
        <family val="2"/>
      </rPr>
      <t xml:space="preserve"> =</t>
    </r>
    <phoneticPr fontId="25" type="noConversion"/>
  </si>
  <si>
    <r>
      <t>i</t>
    </r>
    <r>
      <rPr>
        <vertAlign val="subscript"/>
        <sz val="11"/>
        <color theme="1"/>
        <rFont val="Arial"/>
        <family val="2"/>
      </rPr>
      <t>QL_RMS</t>
    </r>
    <r>
      <rPr>
        <sz val="11"/>
        <color theme="1"/>
        <rFont val="Arial"/>
        <family val="2"/>
      </rPr>
      <t xml:space="preserve"> =</t>
    </r>
    <phoneticPr fontId="25" type="noConversion"/>
  </si>
  <si>
    <r>
      <t>R</t>
    </r>
    <r>
      <rPr>
        <b/>
        <vertAlign val="subscript"/>
        <sz val="12"/>
        <color rgb="FFFF0000"/>
        <rFont val="Arial"/>
        <family val="2"/>
      </rPr>
      <t>FB</t>
    </r>
    <phoneticPr fontId="25" type="noConversion"/>
  </si>
  <si>
    <r>
      <t>R</t>
    </r>
    <r>
      <rPr>
        <b/>
        <vertAlign val="subscript"/>
        <sz val="12"/>
        <color rgb="FFFF0000"/>
        <rFont val="Arial"/>
        <family val="2"/>
      </rPr>
      <t>bleed</t>
    </r>
    <phoneticPr fontId="25" type="noConversion"/>
  </si>
  <si>
    <r>
      <t>M</t>
    </r>
    <r>
      <rPr>
        <sz val="12"/>
        <color theme="1"/>
        <rFont val="Calibri"/>
        <family val="2"/>
      </rPr>
      <t>Ω</t>
    </r>
    <phoneticPr fontId="25" type="noConversion"/>
  </si>
  <si>
    <r>
      <t>R</t>
    </r>
    <r>
      <rPr>
        <b/>
        <vertAlign val="subscript"/>
        <sz val="12"/>
        <color rgb="FFFF0000"/>
        <rFont val="Arial"/>
        <family val="2"/>
      </rPr>
      <t>VS1</t>
    </r>
    <phoneticPr fontId="25" type="noConversion"/>
  </si>
  <si>
    <r>
      <t>R</t>
    </r>
    <r>
      <rPr>
        <b/>
        <vertAlign val="subscript"/>
        <sz val="12"/>
        <color rgb="FFFF0000"/>
        <rFont val="Arial"/>
        <family val="2"/>
      </rPr>
      <t>VS2</t>
    </r>
    <phoneticPr fontId="25" type="noConversion"/>
  </si>
  <si>
    <r>
      <t>R</t>
    </r>
    <r>
      <rPr>
        <b/>
        <vertAlign val="subscript"/>
        <sz val="12"/>
        <color rgb="FFFF0000"/>
        <rFont val="Arial"/>
        <family val="2"/>
      </rPr>
      <t>OPP</t>
    </r>
    <phoneticPr fontId="25" type="noConversion"/>
  </si>
  <si>
    <r>
      <t>R</t>
    </r>
    <r>
      <rPr>
        <b/>
        <vertAlign val="subscript"/>
        <sz val="12"/>
        <color rgb="FFFF0000"/>
        <rFont val="Arial"/>
        <family val="2"/>
      </rPr>
      <t>DM</t>
    </r>
    <phoneticPr fontId="25" type="noConversion"/>
  </si>
  <si>
    <r>
      <t>R</t>
    </r>
    <r>
      <rPr>
        <b/>
        <vertAlign val="subscript"/>
        <sz val="12"/>
        <color rgb="FFFF0000"/>
        <rFont val="Arial"/>
        <family val="2"/>
      </rPr>
      <t>TZ</t>
    </r>
    <phoneticPr fontId="25" type="noConversion"/>
  </si>
  <si>
    <r>
      <t>R</t>
    </r>
    <r>
      <rPr>
        <b/>
        <vertAlign val="subscript"/>
        <sz val="12"/>
        <color rgb="FFFF0000"/>
        <rFont val="Arial"/>
        <family val="2"/>
      </rPr>
      <t>BUR1</t>
    </r>
    <phoneticPr fontId="25" type="noConversion"/>
  </si>
  <si>
    <r>
      <t>R</t>
    </r>
    <r>
      <rPr>
        <b/>
        <vertAlign val="subscript"/>
        <sz val="12"/>
        <color rgb="FFFF0000"/>
        <rFont val="Arial"/>
        <family val="2"/>
      </rPr>
      <t>BUR2</t>
    </r>
    <phoneticPr fontId="25" type="noConversion"/>
  </si>
  <si>
    <r>
      <t>R</t>
    </r>
    <r>
      <rPr>
        <b/>
        <vertAlign val="subscript"/>
        <sz val="12"/>
        <color rgb="FFFF0000"/>
        <rFont val="Arial"/>
        <family val="2"/>
      </rPr>
      <t>SWS</t>
    </r>
    <phoneticPr fontId="25" type="noConversion"/>
  </si>
  <si>
    <r>
      <t>R</t>
    </r>
    <r>
      <rPr>
        <b/>
        <vertAlign val="subscript"/>
        <sz val="12"/>
        <color rgb="FFFF0000"/>
        <rFont val="Arial"/>
        <family val="2"/>
      </rPr>
      <t>HVG</t>
    </r>
    <phoneticPr fontId="25" type="noConversion"/>
  </si>
  <si>
    <r>
      <t>R</t>
    </r>
    <r>
      <rPr>
        <b/>
        <vertAlign val="subscript"/>
        <sz val="12"/>
        <color rgb="FFFF0000"/>
        <rFont val="Arial"/>
        <family val="2"/>
      </rPr>
      <t>DD2</t>
    </r>
    <phoneticPr fontId="25" type="noConversion"/>
  </si>
  <si>
    <r>
      <t>R</t>
    </r>
    <r>
      <rPr>
        <b/>
        <vertAlign val="subscript"/>
        <sz val="12"/>
        <color rgb="FFFF0000"/>
        <rFont val="Arial"/>
        <family val="2"/>
      </rPr>
      <t>DD1</t>
    </r>
    <phoneticPr fontId="25" type="noConversion"/>
  </si>
  <si>
    <r>
      <t>R</t>
    </r>
    <r>
      <rPr>
        <b/>
        <vertAlign val="subscript"/>
        <sz val="12"/>
        <color rgb="FFFF0000"/>
        <rFont val="Arial"/>
        <family val="2"/>
      </rPr>
      <t>Bias1</t>
    </r>
    <phoneticPr fontId="25" type="noConversion"/>
  </si>
  <si>
    <r>
      <t>R</t>
    </r>
    <r>
      <rPr>
        <b/>
        <vertAlign val="subscript"/>
        <sz val="12"/>
        <color rgb="FFFF0000"/>
        <rFont val="Arial"/>
        <family val="2"/>
      </rPr>
      <t>Bias2</t>
    </r>
    <phoneticPr fontId="25" type="noConversion"/>
  </si>
  <si>
    <r>
      <t>R</t>
    </r>
    <r>
      <rPr>
        <b/>
        <vertAlign val="subscript"/>
        <sz val="12"/>
        <color rgb="FFFF0000"/>
        <rFont val="Arial"/>
        <family val="2"/>
      </rPr>
      <t>Vo1</t>
    </r>
    <phoneticPr fontId="25" type="noConversion"/>
  </si>
  <si>
    <r>
      <t>R</t>
    </r>
    <r>
      <rPr>
        <b/>
        <vertAlign val="subscript"/>
        <sz val="12"/>
        <color rgb="FFFF0000"/>
        <rFont val="Arial"/>
        <family val="2"/>
      </rPr>
      <t>Vo2</t>
    </r>
    <phoneticPr fontId="25" type="noConversion"/>
  </si>
  <si>
    <r>
      <t>R</t>
    </r>
    <r>
      <rPr>
        <b/>
        <vertAlign val="subscript"/>
        <sz val="12"/>
        <color rgb="FFFF0000"/>
        <rFont val="Arial"/>
        <family val="2"/>
      </rPr>
      <t>diff</t>
    </r>
    <phoneticPr fontId="25" type="noConversion"/>
  </si>
  <si>
    <t>Aluminum Electrolytic</t>
  </si>
  <si>
    <t>Minimum Voltage Rating:</t>
  </si>
  <si>
    <r>
      <t>C</t>
    </r>
    <r>
      <rPr>
        <b/>
        <vertAlign val="subscript"/>
        <sz val="12"/>
        <color rgb="FFFF0000"/>
        <rFont val="Arial"/>
        <family val="2"/>
      </rPr>
      <t>BULK</t>
    </r>
    <phoneticPr fontId="25" type="noConversion"/>
  </si>
  <si>
    <r>
      <t>C</t>
    </r>
    <r>
      <rPr>
        <b/>
        <vertAlign val="subscript"/>
        <sz val="12"/>
        <color rgb="FFFF0000"/>
        <rFont val="Arial"/>
        <family val="2"/>
      </rPr>
      <t>OUT</t>
    </r>
    <phoneticPr fontId="25" type="noConversion"/>
  </si>
  <si>
    <r>
      <t>C</t>
    </r>
    <r>
      <rPr>
        <b/>
        <vertAlign val="subscript"/>
        <sz val="12"/>
        <color rgb="FFFF0000"/>
        <rFont val="Arial"/>
        <family val="2"/>
      </rPr>
      <t>clamp</t>
    </r>
    <phoneticPr fontId="25" type="noConversion"/>
  </si>
  <si>
    <t>Ceramic</t>
    <phoneticPr fontId="25" type="noConversion"/>
  </si>
  <si>
    <r>
      <t>C</t>
    </r>
    <r>
      <rPr>
        <b/>
        <vertAlign val="subscript"/>
        <sz val="12"/>
        <color rgb="FFFF0000"/>
        <rFont val="Arial"/>
        <family val="2"/>
      </rPr>
      <t>CS</t>
    </r>
    <phoneticPr fontId="25" type="noConversion"/>
  </si>
  <si>
    <t>pF</t>
    <phoneticPr fontId="25" type="noConversion"/>
  </si>
  <si>
    <r>
      <t>C</t>
    </r>
    <r>
      <rPr>
        <b/>
        <vertAlign val="subscript"/>
        <sz val="12"/>
        <color rgb="FFFF0000"/>
        <rFont val="Arial"/>
        <family val="2"/>
      </rPr>
      <t>SWS</t>
    </r>
    <phoneticPr fontId="25" type="noConversion"/>
  </si>
  <si>
    <r>
      <t>C</t>
    </r>
    <r>
      <rPr>
        <b/>
        <vertAlign val="subscript"/>
        <sz val="12"/>
        <color rgb="FFFF0000"/>
        <rFont val="Arial"/>
        <family val="2"/>
      </rPr>
      <t>HVG</t>
    </r>
    <phoneticPr fontId="25" type="noConversion"/>
  </si>
  <si>
    <r>
      <t>C</t>
    </r>
    <r>
      <rPr>
        <b/>
        <vertAlign val="subscript"/>
        <sz val="12"/>
        <color rgb="FFFF0000"/>
        <rFont val="Arial"/>
        <family val="2"/>
      </rPr>
      <t>REF</t>
    </r>
    <phoneticPr fontId="25" type="noConversion"/>
  </si>
  <si>
    <r>
      <t>C</t>
    </r>
    <r>
      <rPr>
        <b/>
        <vertAlign val="subscript"/>
        <sz val="12"/>
        <color rgb="FFFF0000"/>
        <rFont val="Arial"/>
        <family val="2"/>
      </rPr>
      <t>boot</t>
    </r>
    <phoneticPr fontId="25" type="noConversion"/>
  </si>
  <si>
    <r>
      <t>C</t>
    </r>
    <r>
      <rPr>
        <b/>
        <vertAlign val="subscript"/>
        <sz val="12"/>
        <color rgb="FFFF0000"/>
        <rFont val="Arial"/>
        <family val="2"/>
      </rPr>
      <t>DD2</t>
    </r>
    <phoneticPr fontId="25" type="noConversion"/>
  </si>
  <si>
    <r>
      <t>C</t>
    </r>
    <r>
      <rPr>
        <b/>
        <vertAlign val="subscript"/>
        <sz val="12"/>
        <color rgb="FFFF0000"/>
        <rFont val="Arial"/>
        <family val="2"/>
      </rPr>
      <t>DD1</t>
    </r>
    <phoneticPr fontId="25" type="noConversion"/>
  </si>
  <si>
    <r>
      <t>C</t>
    </r>
    <r>
      <rPr>
        <b/>
        <vertAlign val="subscript"/>
        <sz val="12"/>
        <color rgb="FFFF0000"/>
        <rFont val="Arial"/>
        <family val="2"/>
      </rPr>
      <t>diff</t>
    </r>
    <phoneticPr fontId="25" type="noConversion"/>
  </si>
  <si>
    <r>
      <t>C</t>
    </r>
    <r>
      <rPr>
        <b/>
        <vertAlign val="subscript"/>
        <sz val="12"/>
        <color rgb="FFFF0000"/>
        <rFont val="Arial"/>
        <family val="2"/>
      </rPr>
      <t>int</t>
    </r>
    <phoneticPr fontId="25" type="noConversion"/>
  </si>
  <si>
    <t>TRANSFORMER</t>
  </si>
  <si>
    <t>Primary Inductance:</t>
  </si>
  <si>
    <t>Primary to Secondary Turns Ratio:</t>
  </si>
  <si>
    <t>Primary Turns:</t>
    <phoneticPr fontId="25" type="noConversion"/>
  </si>
  <si>
    <t>Secondary Turns:</t>
    <phoneticPr fontId="25" type="noConversion"/>
  </si>
  <si>
    <t>Auxiliary Turns:</t>
    <phoneticPr fontId="25" type="noConversion"/>
  </si>
  <si>
    <t>Leakage Inductance</t>
    <phoneticPr fontId="25" type="noConversion"/>
  </si>
  <si>
    <r>
      <t>Output Capacitance Threshold of Big-Small-C, V</t>
    </r>
    <r>
      <rPr>
        <vertAlign val="subscript"/>
        <sz val="11"/>
        <color theme="1"/>
        <rFont val="Arial"/>
        <family val="2"/>
      </rPr>
      <t>xl</t>
    </r>
    <r>
      <rPr>
        <sz val="11"/>
        <color theme="1"/>
        <rFont val="Arial"/>
        <family val="2"/>
      </rPr>
      <t xml:space="preserve"> =</t>
    </r>
    <phoneticPr fontId="25" type="noConversion"/>
  </si>
  <si>
    <t>Output Capacitance Threshold of Big-Small-C, Vx_SR =</t>
    <phoneticPr fontId="25" type="noConversion"/>
  </si>
  <si>
    <t>TI Literature Number:</t>
    <phoneticPr fontId="25" type="noConversion"/>
  </si>
  <si>
    <r>
      <t>R</t>
    </r>
    <r>
      <rPr>
        <vertAlign val="subscript"/>
        <sz val="11"/>
        <color theme="1"/>
        <rFont val="Arial"/>
        <family val="2"/>
      </rPr>
      <t>BUR1_rec</t>
    </r>
    <r>
      <rPr>
        <sz val="11"/>
        <color theme="1"/>
        <rFont val="Arial"/>
        <family val="2"/>
      </rPr>
      <t xml:space="preserve"> =</t>
    </r>
    <phoneticPr fontId="25" type="noConversion"/>
  </si>
  <si>
    <t>kΩ</t>
    <phoneticPr fontId="25" type="noConversion"/>
  </si>
  <si>
    <r>
      <t>R</t>
    </r>
    <r>
      <rPr>
        <vertAlign val="subscript"/>
        <sz val="11"/>
        <color theme="1"/>
        <rFont val="Arial"/>
        <family val="2"/>
      </rPr>
      <t>BUR1_act</t>
    </r>
    <r>
      <rPr>
        <sz val="11"/>
        <color theme="1"/>
        <rFont val="Arial"/>
        <family val="2"/>
      </rPr>
      <t xml:space="preserve"> =</t>
    </r>
    <phoneticPr fontId="25" type="noConversion"/>
  </si>
  <si>
    <r>
      <t>R</t>
    </r>
    <r>
      <rPr>
        <vertAlign val="subscript"/>
        <sz val="11"/>
        <color theme="1"/>
        <rFont val="Arial"/>
        <family val="2"/>
      </rPr>
      <t xml:space="preserve">BUR1 </t>
    </r>
    <r>
      <rPr>
        <sz val="11"/>
        <color theme="1"/>
        <rFont val="Arial"/>
        <family val="2"/>
      </rPr>
      <t>=</t>
    </r>
    <phoneticPr fontId="25" type="noConversion"/>
  </si>
  <si>
    <r>
      <t>C</t>
    </r>
    <r>
      <rPr>
        <vertAlign val="subscript"/>
        <sz val="11"/>
        <color theme="1"/>
        <rFont val="Arial"/>
        <family val="2"/>
      </rPr>
      <t xml:space="preserve">BUR </t>
    </r>
    <r>
      <rPr>
        <sz val="11"/>
        <color theme="1"/>
        <rFont val="Arial"/>
        <family val="2"/>
      </rPr>
      <t>=</t>
    </r>
    <phoneticPr fontId="25" type="noConversion"/>
  </si>
  <si>
    <r>
      <t>C</t>
    </r>
    <r>
      <rPr>
        <vertAlign val="subscript"/>
        <sz val="11"/>
        <color theme="1"/>
        <rFont val="Arial"/>
        <family val="2"/>
      </rPr>
      <t>BUR_act</t>
    </r>
    <r>
      <rPr>
        <sz val="11"/>
        <color theme="1"/>
        <rFont val="Arial"/>
        <family val="2"/>
      </rPr>
      <t xml:space="preserve"> =</t>
    </r>
    <phoneticPr fontId="25" type="noConversion"/>
  </si>
  <si>
    <t>pF</t>
    <phoneticPr fontId="25" type="noConversion"/>
  </si>
  <si>
    <t>pF</t>
    <phoneticPr fontId="25" type="noConversion"/>
  </si>
  <si>
    <r>
      <t>C</t>
    </r>
    <r>
      <rPr>
        <b/>
        <vertAlign val="subscript"/>
        <sz val="12"/>
        <color rgb="FFFF0000"/>
        <rFont val="Arial"/>
        <family val="2"/>
      </rPr>
      <t>BUR</t>
    </r>
    <phoneticPr fontId="25" type="noConversion"/>
  </si>
  <si>
    <t>For high side driver</t>
    <phoneticPr fontId="25" type="noConversion"/>
  </si>
  <si>
    <t>Disclaimer</t>
    <phoneticPr fontId="25" type="noConversion"/>
  </si>
  <si>
    <t>2.Increase Co1 to extend resonant current, improve efficiency</t>
    <phoneticPr fontId="25" type="noConversion"/>
  </si>
  <si>
    <t>Secondary resonance in another tab</t>
    <phoneticPr fontId="25" type="noConversion"/>
  </si>
  <si>
    <r>
      <t>C</t>
    </r>
    <r>
      <rPr>
        <vertAlign val="subscript"/>
        <sz val="11"/>
        <color theme="1"/>
        <rFont val="Arial"/>
        <family val="2"/>
      </rPr>
      <t>FB</t>
    </r>
    <r>
      <rPr>
        <sz val="11"/>
        <color theme="1"/>
        <rFont val="Arial"/>
        <family val="2"/>
      </rPr>
      <t xml:space="preserve"> =</t>
    </r>
    <phoneticPr fontId="25" type="noConversion"/>
  </si>
  <si>
    <t>pF</t>
    <phoneticPr fontId="25" type="noConversion"/>
  </si>
  <si>
    <t>Quicesent current of driver</t>
    <phoneticPr fontId="25" type="noConversion"/>
  </si>
  <si>
    <t>Hz</t>
    <phoneticPr fontId="25" type="noConversion"/>
  </si>
  <si>
    <t>A</t>
    <phoneticPr fontId="25" type="noConversion"/>
  </si>
  <si>
    <t>pF</t>
    <phoneticPr fontId="25" type="noConversion"/>
  </si>
  <si>
    <r>
      <t>R</t>
    </r>
    <r>
      <rPr>
        <vertAlign val="subscript"/>
        <sz val="11"/>
        <color theme="1"/>
        <rFont val="Arial"/>
        <family val="2"/>
      </rPr>
      <t>HVG_min</t>
    </r>
    <r>
      <rPr>
        <sz val="11"/>
        <color theme="1"/>
        <rFont val="Arial"/>
        <family val="2"/>
      </rPr>
      <t xml:space="preserve"> =</t>
    </r>
    <phoneticPr fontId="25" type="noConversion"/>
  </si>
  <si>
    <t>kΩ</t>
    <phoneticPr fontId="25" type="noConversion"/>
  </si>
  <si>
    <r>
      <t>R</t>
    </r>
    <r>
      <rPr>
        <vertAlign val="subscript"/>
        <sz val="11"/>
        <color theme="1"/>
        <rFont val="Arial"/>
        <family val="2"/>
      </rPr>
      <t>DD1_min</t>
    </r>
    <r>
      <rPr>
        <sz val="11"/>
        <color theme="1"/>
        <rFont val="Arial"/>
        <family val="2"/>
      </rPr>
      <t xml:space="preserve"> =</t>
    </r>
    <phoneticPr fontId="25" type="noConversion"/>
  </si>
  <si>
    <r>
      <t>C</t>
    </r>
    <r>
      <rPr>
        <vertAlign val="subscript"/>
        <sz val="11"/>
        <color theme="1"/>
        <rFont val="Arial"/>
        <family val="2"/>
      </rPr>
      <t xml:space="preserve">DD2_min </t>
    </r>
    <r>
      <rPr>
        <sz val="11"/>
        <color theme="1"/>
        <rFont val="Arial"/>
        <family val="2"/>
      </rPr>
      <t>=</t>
    </r>
    <phoneticPr fontId="25" type="noConversion"/>
  </si>
  <si>
    <r>
      <t>R</t>
    </r>
    <r>
      <rPr>
        <vertAlign val="subscript"/>
        <sz val="11"/>
        <color theme="1"/>
        <rFont val="Arial"/>
        <family val="2"/>
      </rPr>
      <t xml:space="preserve">DD2_min </t>
    </r>
    <r>
      <rPr>
        <sz val="11"/>
        <color theme="1"/>
        <rFont val="Arial"/>
        <family val="2"/>
      </rPr>
      <t>=</t>
    </r>
    <phoneticPr fontId="25" type="noConversion"/>
  </si>
  <si>
    <r>
      <t>C</t>
    </r>
    <r>
      <rPr>
        <vertAlign val="subscript"/>
        <sz val="11"/>
        <color theme="1"/>
        <rFont val="Arial"/>
        <family val="2"/>
      </rPr>
      <t>SWS_min</t>
    </r>
    <r>
      <rPr>
        <sz val="11"/>
        <color theme="1"/>
        <rFont val="Arial"/>
        <family val="2"/>
      </rPr>
      <t xml:space="preserve"> =</t>
    </r>
    <phoneticPr fontId="25" type="noConversion"/>
  </si>
  <si>
    <r>
      <t>R</t>
    </r>
    <r>
      <rPr>
        <vertAlign val="subscript"/>
        <sz val="11"/>
        <color theme="1"/>
        <rFont val="Arial"/>
        <family val="2"/>
      </rPr>
      <t>SWS_min</t>
    </r>
    <r>
      <rPr>
        <sz val="11"/>
        <color theme="1"/>
        <rFont val="Arial"/>
        <family val="2"/>
      </rPr>
      <t xml:space="preserve"> =</t>
    </r>
    <phoneticPr fontId="25" type="noConversion"/>
  </si>
  <si>
    <r>
      <t>C</t>
    </r>
    <r>
      <rPr>
        <vertAlign val="subscript"/>
        <sz val="11"/>
        <color theme="1"/>
        <rFont val="Arial"/>
        <family val="2"/>
      </rPr>
      <t>BUR_max</t>
    </r>
    <r>
      <rPr>
        <sz val="11"/>
        <color theme="1"/>
        <rFont val="Arial"/>
        <family val="2"/>
      </rPr>
      <t xml:space="preserve"> =</t>
    </r>
    <phoneticPr fontId="25" type="noConversion"/>
  </si>
  <si>
    <r>
      <t>C</t>
    </r>
    <r>
      <rPr>
        <vertAlign val="subscript"/>
        <sz val="11"/>
        <color theme="1"/>
        <rFont val="Arial"/>
        <family val="2"/>
      </rPr>
      <t xml:space="preserve">CS_max </t>
    </r>
    <r>
      <rPr>
        <sz val="11"/>
        <color theme="1"/>
        <rFont val="Arial"/>
        <family val="2"/>
      </rPr>
      <t>=</t>
    </r>
    <phoneticPr fontId="25" type="noConversion"/>
  </si>
  <si>
    <r>
      <t>C</t>
    </r>
    <r>
      <rPr>
        <vertAlign val="subscript"/>
        <sz val="11"/>
        <color theme="1"/>
        <rFont val="Arial"/>
        <family val="2"/>
      </rPr>
      <t>HVG_min</t>
    </r>
    <r>
      <rPr>
        <sz val="11"/>
        <color theme="1"/>
        <rFont val="Arial"/>
        <family val="2"/>
      </rPr>
      <t xml:space="preserve"> =</t>
    </r>
    <phoneticPr fontId="25" type="noConversion"/>
  </si>
  <si>
    <r>
      <t>C</t>
    </r>
    <r>
      <rPr>
        <vertAlign val="subscript"/>
        <sz val="11"/>
        <color theme="1"/>
        <rFont val="Arial"/>
        <family val="2"/>
      </rPr>
      <t>REF_min</t>
    </r>
    <r>
      <rPr>
        <sz val="11"/>
        <color theme="1"/>
        <rFont val="Arial"/>
        <family val="2"/>
      </rPr>
      <t xml:space="preserve"> =</t>
    </r>
    <phoneticPr fontId="25" type="noConversion"/>
  </si>
  <si>
    <t>µF</t>
    <phoneticPr fontId="25" type="noConversion"/>
  </si>
  <si>
    <t>20%tolerance</t>
    <phoneticPr fontId="25" type="noConversion"/>
  </si>
  <si>
    <r>
      <t>R</t>
    </r>
    <r>
      <rPr>
        <vertAlign val="subscript"/>
        <sz val="11"/>
        <color theme="1"/>
        <rFont val="Arial"/>
        <family val="2"/>
      </rPr>
      <t>int</t>
    </r>
    <r>
      <rPr>
        <sz val="11"/>
        <color theme="1"/>
        <rFont val="Arial"/>
        <family val="2"/>
      </rPr>
      <t xml:space="preserve"> =</t>
    </r>
    <phoneticPr fontId="25" type="noConversion"/>
  </si>
  <si>
    <r>
      <t>R</t>
    </r>
    <r>
      <rPr>
        <vertAlign val="subscript"/>
        <sz val="11"/>
        <color theme="1"/>
        <rFont val="Arial"/>
        <family val="2"/>
      </rPr>
      <t>_OPP</t>
    </r>
    <r>
      <rPr>
        <sz val="11"/>
        <color theme="1"/>
        <rFont val="Arial"/>
        <family val="2"/>
      </rPr>
      <t xml:space="preserve"> =</t>
    </r>
    <phoneticPr fontId="25" type="noConversion"/>
  </si>
  <si>
    <t>Ω</t>
    <phoneticPr fontId="25" type="noConversion"/>
  </si>
  <si>
    <t>20% tolerance</t>
    <phoneticPr fontId="25" type="noConversion"/>
  </si>
  <si>
    <r>
      <t>Rising Time, T</t>
    </r>
    <r>
      <rPr>
        <vertAlign val="subscript"/>
        <sz val="11"/>
        <color theme="1"/>
        <rFont val="Arial"/>
        <family val="2"/>
      </rPr>
      <t>rise_max</t>
    </r>
    <r>
      <rPr>
        <sz val="11"/>
        <color theme="1"/>
        <rFont val="Arial"/>
        <family val="2"/>
      </rPr>
      <t xml:space="preserve"> =</t>
    </r>
    <phoneticPr fontId="25" type="noConversion"/>
  </si>
  <si>
    <r>
      <t>T</t>
    </r>
    <r>
      <rPr>
        <vertAlign val="subscript"/>
        <sz val="11"/>
        <color theme="1"/>
        <rFont val="Arial"/>
        <family val="2"/>
      </rPr>
      <t>rise_max</t>
    </r>
    <r>
      <rPr>
        <sz val="11"/>
        <color theme="1"/>
        <rFont val="Arial"/>
        <family val="2"/>
      </rPr>
      <t xml:space="preserve"> =</t>
    </r>
    <phoneticPr fontId="25" type="noConversion"/>
  </si>
  <si>
    <t>ns</t>
    <phoneticPr fontId="25" type="noConversion"/>
  </si>
  <si>
    <t>0 for GaN, 1 for silicon
In schematic, connect ground for GaN, connect REF for silicon</t>
    <phoneticPr fontId="25" type="noConversion"/>
  </si>
  <si>
    <t>No load frequency</t>
    <phoneticPr fontId="25" type="noConversion"/>
  </si>
  <si>
    <r>
      <t>C</t>
    </r>
    <r>
      <rPr>
        <b/>
        <vertAlign val="subscript"/>
        <sz val="12"/>
        <color rgb="FFFF0000"/>
        <rFont val="Arial"/>
        <family val="2"/>
      </rPr>
      <t>FB</t>
    </r>
    <phoneticPr fontId="25" type="noConversion"/>
  </si>
  <si>
    <t>%</t>
    <phoneticPr fontId="25" type="noConversion"/>
  </si>
  <si>
    <t xml:space="preserve">Recommended Co1 </t>
    <phoneticPr fontId="25" type="noConversion"/>
  </si>
  <si>
    <r>
      <t>Assume C</t>
    </r>
    <r>
      <rPr>
        <b/>
        <vertAlign val="subscript"/>
        <sz val="11"/>
        <color theme="1"/>
        <rFont val="Arial"/>
        <family val="2"/>
      </rPr>
      <t>CLAMP</t>
    </r>
    <r>
      <rPr>
        <b/>
        <sz val="11"/>
        <color theme="1"/>
        <rFont val="Arial"/>
        <family val="2"/>
      </rPr>
      <t xml:space="preserve"> &gt;&gt; C</t>
    </r>
    <r>
      <rPr>
        <b/>
        <vertAlign val="subscript"/>
        <sz val="11"/>
        <color theme="1"/>
        <rFont val="Arial"/>
        <family val="2"/>
      </rPr>
      <t xml:space="preserve">o1 </t>
    </r>
    <r>
      <rPr>
        <b/>
        <sz val="11"/>
        <color theme="1"/>
        <rFont val="Arial"/>
        <family val="2"/>
      </rPr>
      <t>/ N</t>
    </r>
    <r>
      <rPr>
        <b/>
        <vertAlign val="superscript"/>
        <sz val="11"/>
        <color theme="1"/>
        <rFont val="Arial"/>
        <family val="2"/>
      </rPr>
      <t>2</t>
    </r>
    <r>
      <rPr>
        <b/>
        <sz val="11"/>
        <color theme="1"/>
        <rFont val="Arial"/>
        <family val="2"/>
      </rPr>
      <t>, clamp voltage is constant</t>
    </r>
    <phoneticPr fontId="25" type="noConversion"/>
  </si>
  <si>
    <t>µH</t>
    <phoneticPr fontId="25" type="noConversion"/>
  </si>
  <si>
    <t>Part Number for Co1</t>
    <phoneticPr fontId="25" type="noConversion"/>
  </si>
  <si>
    <t>Need to fine tune based on scope waveform</t>
    <phoneticPr fontId="25" type="noConversion"/>
  </si>
  <si>
    <t>Lo Used in Calculations</t>
    <phoneticPr fontId="25" type="noConversion"/>
  </si>
  <si>
    <t>AC</t>
    <phoneticPr fontId="25" type="noConversion"/>
  </si>
  <si>
    <t>Column1</t>
  </si>
  <si>
    <t>V</t>
    <phoneticPr fontId="25" type="noConversion"/>
  </si>
  <si>
    <t>OPP not included</t>
    <phoneticPr fontId="25" type="noConversion"/>
  </si>
  <si>
    <t>Secondary Rectifier, SR or Diode</t>
    <phoneticPr fontId="25" type="noConversion"/>
  </si>
  <si>
    <t>pF</t>
    <phoneticPr fontId="25" type="noConversion"/>
  </si>
  <si>
    <t>at~4V</t>
    <phoneticPr fontId="25" type="noConversion"/>
  </si>
  <si>
    <t>VDD Turn on Threshold</t>
    <phoneticPr fontId="25" type="noConversion"/>
  </si>
  <si>
    <t>Maximum Bias-Supply Operating Voltage</t>
    <phoneticPr fontId="25" type="noConversion"/>
  </si>
  <si>
    <t>Offset to Power Cycle for Long Output Voltage Overshoot</t>
    <phoneticPr fontId="25" type="noConversion"/>
  </si>
  <si>
    <t>VS Line Sense run Current</t>
    <phoneticPr fontId="25" type="noConversion"/>
  </si>
  <si>
    <t>VS Pin Over Voltage Threshold</t>
    <phoneticPr fontId="25" type="noConversion"/>
  </si>
  <si>
    <t>Propagation Delay of CS Comparator High to PWML Low</t>
    <phoneticPr fontId="25" type="noConversion"/>
  </si>
  <si>
    <t>Maximum Threshold on CS Pin</t>
    <phoneticPr fontId="25" type="noConversion"/>
  </si>
  <si>
    <t>Over Power Threshold on CS Pin</t>
    <phoneticPr fontId="25" type="noConversion"/>
  </si>
  <si>
    <t>Current Sense Pin Hysteresis Voltage</t>
    <phoneticPr fontId="25" type="noConversion"/>
  </si>
  <si>
    <t>VS Pin Negative Clamp Level</t>
    <phoneticPr fontId="25" type="noConversion"/>
  </si>
  <si>
    <t>Line Compensation Current Ratio</t>
    <phoneticPr fontId="25" type="noConversion"/>
  </si>
  <si>
    <t>HVG Voltage Level</t>
    <phoneticPr fontId="25" type="noConversion"/>
  </si>
  <si>
    <t>Supply Current Run</t>
    <phoneticPr fontId="25" type="noConversion"/>
  </si>
  <si>
    <t>Supply Current Wait</t>
    <phoneticPr fontId="25" type="noConversion"/>
  </si>
  <si>
    <t>Delay from Run High to PWML High</t>
    <phoneticPr fontId="25" type="noConversion"/>
  </si>
  <si>
    <t>HVG Sink Current During Startup</t>
    <phoneticPr fontId="25" type="noConversion"/>
  </si>
  <si>
    <t>Regulated FB Voltage Level</t>
    <phoneticPr fontId="25" type="noConversion"/>
  </si>
  <si>
    <t>FB Input Pin Resistance</t>
    <phoneticPr fontId="25" type="noConversion"/>
  </si>
  <si>
    <t>Maximum Control FB Current</t>
    <phoneticPr fontId="25" type="noConversion"/>
  </si>
  <si>
    <t>Minimum Primary to Secondary Turns Ratio</t>
    <phoneticPr fontId="25" type="noConversion"/>
  </si>
  <si>
    <t xml:space="preserve">Maximum Primary to Secondary Turns Ratio </t>
    <phoneticPr fontId="25" type="noConversion"/>
  </si>
  <si>
    <t>Primary Turns</t>
    <phoneticPr fontId="25" type="noConversion"/>
  </si>
  <si>
    <t>Vout Reflect to Primary Side</t>
    <phoneticPr fontId="25" type="noConversion"/>
  </si>
  <si>
    <t>Maximum Duty Cycle</t>
    <phoneticPr fontId="25" type="noConversion"/>
  </si>
  <si>
    <t>Magnetizing Inductance Used in Calculations</t>
    <phoneticPr fontId="25" type="noConversion"/>
  </si>
  <si>
    <t>Actual Leakage Inductance</t>
    <phoneticPr fontId="25" type="noConversion"/>
  </si>
  <si>
    <t>Estimate Transformer Efficiency</t>
    <phoneticPr fontId="25" type="noConversion"/>
  </si>
  <si>
    <t>Transformer Parasitic Capacitance</t>
    <phoneticPr fontId="25" type="noConversion"/>
  </si>
  <si>
    <t>Resistance of Primary Winding</t>
    <phoneticPr fontId="25" type="noConversion"/>
  </si>
  <si>
    <t>Time Based Output Capacitance of QH</t>
    <phoneticPr fontId="25" type="noConversion"/>
  </si>
  <si>
    <t>Time Based Output Capacitance of QL</t>
    <phoneticPr fontId="25" type="noConversion"/>
  </si>
  <si>
    <t>Bootstrap Diode</t>
    <phoneticPr fontId="25" type="noConversion"/>
  </si>
  <si>
    <t>Depletion FET Output Capacitance</t>
    <phoneticPr fontId="25" type="noConversion"/>
  </si>
  <si>
    <t>Secondary Side Reflect to Primary Side</t>
    <phoneticPr fontId="25" type="noConversion"/>
  </si>
  <si>
    <t>Total Time Base Switching Node Capacitance</t>
    <phoneticPr fontId="25" type="noConversion"/>
  </si>
  <si>
    <r>
      <rPr>
        <b/>
        <sz val="11"/>
        <color theme="1"/>
        <rFont val="Arial"/>
        <family val="2"/>
      </rPr>
      <t>Recommended</t>
    </r>
    <r>
      <rPr>
        <sz val="11"/>
        <color theme="1"/>
        <rFont val="Arial"/>
        <family val="2"/>
      </rPr>
      <t xml:space="preserve"> Clamp Cap Capacitance</t>
    </r>
    <phoneticPr fontId="25" type="noConversion"/>
  </si>
  <si>
    <r>
      <rPr>
        <b/>
        <sz val="11"/>
        <color theme="1"/>
        <rFont val="Arial"/>
        <family val="2"/>
      </rPr>
      <t xml:space="preserve">Actual </t>
    </r>
    <r>
      <rPr>
        <sz val="11"/>
        <color theme="1"/>
        <rFont val="Arial"/>
        <family val="2"/>
      </rPr>
      <t>Clamp Cap Capacitance</t>
    </r>
    <phoneticPr fontId="25" type="noConversion"/>
  </si>
  <si>
    <t>Clamp Cap Used in Calculations</t>
    <phoneticPr fontId="25" type="noConversion"/>
  </si>
  <si>
    <r>
      <rPr>
        <b/>
        <sz val="11"/>
        <color theme="1"/>
        <rFont val="Arial"/>
        <family val="2"/>
      </rPr>
      <t>Recommended</t>
    </r>
    <r>
      <rPr>
        <sz val="11"/>
        <color theme="1"/>
        <rFont val="Arial"/>
        <family val="2"/>
      </rPr>
      <t xml:space="preserve"> Bleed Resistor</t>
    </r>
    <phoneticPr fontId="25" type="noConversion"/>
  </si>
  <si>
    <r>
      <rPr>
        <b/>
        <sz val="11"/>
        <color theme="1"/>
        <rFont val="Arial"/>
        <family val="2"/>
      </rPr>
      <t xml:space="preserve">Actual </t>
    </r>
    <r>
      <rPr>
        <sz val="11"/>
        <color theme="1"/>
        <rFont val="Arial"/>
        <family val="2"/>
      </rPr>
      <t>Bleed Resistor</t>
    </r>
    <phoneticPr fontId="25" type="noConversion"/>
  </si>
  <si>
    <t>Bleed Resistor Used in Calculations</t>
    <phoneticPr fontId="25" type="noConversion"/>
  </si>
  <si>
    <r>
      <rPr>
        <b/>
        <sz val="11"/>
        <color theme="1"/>
        <rFont val="Arial"/>
        <family val="2"/>
      </rPr>
      <t>Recommended</t>
    </r>
    <r>
      <rPr>
        <sz val="11"/>
        <color theme="1"/>
        <rFont val="Arial"/>
        <family val="2"/>
      </rPr>
      <t xml:space="preserve"> R</t>
    </r>
    <r>
      <rPr>
        <vertAlign val="subscript"/>
        <sz val="11"/>
        <color theme="1"/>
        <rFont val="Arial"/>
        <family val="2"/>
      </rPr>
      <t>VS1</t>
    </r>
    <r>
      <rPr>
        <sz val="11"/>
        <color theme="1"/>
        <rFont val="Arial"/>
        <family val="2"/>
      </rPr>
      <t/>
    </r>
    <phoneticPr fontId="25" type="noConversion"/>
  </si>
  <si>
    <r>
      <rPr>
        <b/>
        <sz val="11"/>
        <color theme="1"/>
        <rFont val="Arial"/>
        <family val="2"/>
      </rPr>
      <t xml:space="preserve">Actual </t>
    </r>
    <r>
      <rPr>
        <sz val="11"/>
        <color theme="1"/>
        <rFont val="Arial"/>
        <family val="2"/>
      </rPr>
      <t>R</t>
    </r>
    <r>
      <rPr>
        <vertAlign val="subscript"/>
        <sz val="11"/>
        <color theme="1"/>
        <rFont val="Arial"/>
        <family val="2"/>
      </rPr>
      <t>VS1</t>
    </r>
    <phoneticPr fontId="25" type="noConversion"/>
  </si>
  <si>
    <r>
      <t>R</t>
    </r>
    <r>
      <rPr>
        <vertAlign val="subscript"/>
        <sz val="11"/>
        <color theme="1"/>
        <rFont val="Arial"/>
        <family val="2"/>
      </rPr>
      <t>VS1</t>
    </r>
    <r>
      <rPr>
        <sz val="11"/>
        <color theme="1"/>
        <rFont val="Arial"/>
        <family val="2"/>
      </rPr>
      <t xml:space="preserve"> Used in Calculations</t>
    </r>
    <phoneticPr fontId="25" type="noConversion"/>
  </si>
  <si>
    <r>
      <rPr>
        <b/>
        <sz val="11"/>
        <color theme="1"/>
        <rFont val="Arial"/>
        <family val="2"/>
      </rPr>
      <t>Recommended</t>
    </r>
    <r>
      <rPr>
        <sz val="11"/>
        <color theme="1"/>
        <rFont val="Arial"/>
        <family val="2"/>
      </rPr>
      <t xml:space="preserve"> R</t>
    </r>
    <r>
      <rPr>
        <vertAlign val="subscript"/>
        <sz val="11"/>
        <color theme="1"/>
        <rFont val="Arial"/>
        <family val="2"/>
      </rPr>
      <t>VS2</t>
    </r>
    <r>
      <rPr>
        <sz val="11"/>
        <color theme="1"/>
        <rFont val="Arial"/>
        <family val="2"/>
      </rPr>
      <t/>
    </r>
    <phoneticPr fontId="25" type="noConversion"/>
  </si>
  <si>
    <r>
      <rPr>
        <b/>
        <sz val="11"/>
        <color theme="1"/>
        <rFont val="Arial"/>
        <family val="2"/>
      </rPr>
      <t>Actual</t>
    </r>
    <r>
      <rPr>
        <sz val="11"/>
        <color theme="1"/>
        <rFont val="Arial"/>
        <family val="2"/>
      </rPr>
      <t xml:space="preserve"> R</t>
    </r>
    <r>
      <rPr>
        <vertAlign val="subscript"/>
        <sz val="11"/>
        <color theme="1"/>
        <rFont val="Arial"/>
        <family val="2"/>
      </rPr>
      <t>VS2</t>
    </r>
    <r>
      <rPr>
        <sz val="11"/>
        <color theme="1"/>
        <rFont val="Arial"/>
        <family val="2"/>
      </rPr>
      <t/>
    </r>
    <phoneticPr fontId="25" type="noConversion"/>
  </si>
  <si>
    <r>
      <t>R</t>
    </r>
    <r>
      <rPr>
        <vertAlign val="subscript"/>
        <sz val="11"/>
        <color theme="1"/>
        <rFont val="Arial"/>
        <family val="2"/>
      </rPr>
      <t>VS2</t>
    </r>
    <r>
      <rPr>
        <sz val="11"/>
        <color theme="1"/>
        <rFont val="Arial"/>
        <family val="2"/>
      </rPr>
      <t xml:space="preserve"> Used in Calculations</t>
    </r>
    <phoneticPr fontId="25" type="noConversion"/>
  </si>
  <si>
    <r>
      <rPr>
        <b/>
        <sz val="11"/>
        <color theme="1"/>
        <rFont val="Arial"/>
        <family val="2"/>
      </rPr>
      <t>Recommended</t>
    </r>
    <r>
      <rPr>
        <sz val="11"/>
        <color theme="1"/>
        <rFont val="Arial"/>
        <family val="2"/>
      </rPr>
      <t xml:space="preserve"> Current Sense Resistor </t>
    </r>
    <phoneticPr fontId="25" type="noConversion"/>
  </si>
  <si>
    <r>
      <rPr>
        <b/>
        <sz val="11"/>
        <color theme="1"/>
        <rFont val="Arial"/>
        <family val="2"/>
      </rPr>
      <t>Actual</t>
    </r>
    <r>
      <rPr>
        <sz val="11"/>
        <color theme="1"/>
        <rFont val="Arial"/>
        <family val="2"/>
      </rPr>
      <t xml:space="preserve"> Current Sense Resistor</t>
    </r>
    <phoneticPr fontId="25" type="noConversion"/>
  </si>
  <si>
    <t>Current Sense Resistor Used in Calculations</t>
    <phoneticPr fontId="25" type="noConversion"/>
  </si>
  <si>
    <r>
      <t>RMS Current on R</t>
    </r>
    <r>
      <rPr>
        <vertAlign val="subscript"/>
        <sz val="11"/>
        <color theme="1"/>
        <rFont val="Arial"/>
        <family val="2"/>
      </rPr>
      <t>CS</t>
    </r>
    <r>
      <rPr>
        <sz val="11"/>
        <color theme="1"/>
        <rFont val="Arial"/>
        <family val="2"/>
      </rPr>
      <t xml:space="preserve"> Resistor</t>
    </r>
    <phoneticPr fontId="25" type="noConversion"/>
  </si>
  <si>
    <r>
      <t>Power Loss on R</t>
    </r>
    <r>
      <rPr>
        <vertAlign val="subscript"/>
        <sz val="11"/>
        <color theme="1"/>
        <rFont val="Arial"/>
        <family val="2"/>
      </rPr>
      <t>CS</t>
    </r>
    <r>
      <rPr>
        <sz val="11"/>
        <color theme="1"/>
        <rFont val="Arial"/>
        <family val="2"/>
      </rPr>
      <t/>
    </r>
    <phoneticPr fontId="25" type="noConversion"/>
  </si>
  <si>
    <r>
      <rPr>
        <b/>
        <sz val="11"/>
        <color theme="1"/>
        <rFont val="Arial"/>
        <family val="2"/>
      </rPr>
      <t>Recommended</t>
    </r>
    <r>
      <rPr>
        <sz val="11"/>
        <color theme="1"/>
        <rFont val="Arial"/>
        <family val="2"/>
      </rPr>
      <t xml:space="preserve"> OPP Resistor</t>
    </r>
    <phoneticPr fontId="25" type="noConversion"/>
  </si>
  <si>
    <r>
      <rPr>
        <b/>
        <sz val="11"/>
        <color theme="1"/>
        <rFont val="Arial"/>
        <family val="2"/>
      </rPr>
      <t>Actual</t>
    </r>
    <r>
      <rPr>
        <sz val="11"/>
        <color theme="1"/>
        <rFont val="Arial"/>
        <family val="2"/>
      </rPr>
      <t xml:space="preserve"> OPP Resistor</t>
    </r>
    <phoneticPr fontId="25" type="noConversion"/>
  </si>
  <si>
    <t>OPP Resistor Used in Calculations</t>
    <phoneticPr fontId="25" type="noConversion"/>
  </si>
  <si>
    <r>
      <rPr>
        <b/>
        <sz val="11"/>
        <color theme="1"/>
        <rFont val="Arial"/>
        <family val="2"/>
      </rPr>
      <t>Maximum</t>
    </r>
    <r>
      <rPr>
        <sz val="11"/>
        <color theme="1"/>
        <rFont val="Arial"/>
        <family val="2"/>
      </rPr>
      <t xml:space="preserve"> Current Sense Capacitance</t>
    </r>
    <phoneticPr fontId="25" type="noConversion"/>
  </si>
  <si>
    <r>
      <rPr>
        <b/>
        <sz val="11"/>
        <color theme="1"/>
        <rFont val="Arial"/>
        <family val="2"/>
      </rPr>
      <t>Actual</t>
    </r>
    <r>
      <rPr>
        <sz val="11"/>
        <color theme="1"/>
        <rFont val="Arial"/>
        <family val="2"/>
      </rPr>
      <t xml:space="preserve"> Current Sense Capacitance</t>
    </r>
    <phoneticPr fontId="25" type="noConversion"/>
  </si>
  <si>
    <r>
      <rPr>
        <b/>
        <sz val="11"/>
        <color theme="1"/>
        <rFont val="Arial"/>
        <family val="2"/>
      </rPr>
      <t>Recommended</t>
    </r>
    <r>
      <rPr>
        <sz val="11"/>
        <color theme="1"/>
        <rFont val="Arial"/>
        <family val="2"/>
      </rPr>
      <t xml:space="preserve"> R</t>
    </r>
    <r>
      <rPr>
        <vertAlign val="subscript"/>
        <sz val="11"/>
        <color theme="1"/>
        <rFont val="Arial"/>
        <family val="2"/>
      </rPr>
      <t>DM</t>
    </r>
    <r>
      <rPr>
        <sz val="11"/>
        <color theme="1"/>
        <rFont val="Arial"/>
        <family val="2"/>
      </rPr>
      <t xml:space="preserve"> Resistor</t>
    </r>
    <phoneticPr fontId="25" type="noConversion"/>
  </si>
  <si>
    <r>
      <rPr>
        <b/>
        <sz val="11"/>
        <color theme="1"/>
        <rFont val="Arial"/>
        <family val="2"/>
      </rPr>
      <t>Actual</t>
    </r>
    <r>
      <rPr>
        <sz val="11"/>
        <color theme="1"/>
        <rFont val="Arial"/>
        <family val="2"/>
      </rPr>
      <t xml:space="preserve"> R</t>
    </r>
    <r>
      <rPr>
        <vertAlign val="subscript"/>
        <sz val="11"/>
        <color theme="1"/>
        <rFont val="Arial"/>
        <family val="2"/>
      </rPr>
      <t>DM</t>
    </r>
    <r>
      <rPr>
        <sz val="11"/>
        <color theme="1"/>
        <rFont val="Arial"/>
        <family val="2"/>
      </rPr>
      <t xml:space="preserve"> Resistor</t>
    </r>
    <phoneticPr fontId="25" type="noConversion"/>
  </si>
  <si>
    <r>
      <t>R</t>
    </r>
    <r>
      <rPr>
        <vertAlign val="subscript"/>
        <sz val="11"/>
        <color theme="1"/>
        <rFont val="Arial"/>
        <family val="2"/>
      </rPr>
      <t>DM</t>
    </r>
    <r>
      <rPr>
        <sz val="11"/>
        <color theme="1"/>
        <rFont val="Arial"/>
        <family val="2"/>
      </rPr>
      <t xml:space="preserve"> Resistor Used in Calculations</t>
    </r>
    <phoneticPr fontId="25" type="noConversion"/>
  </si>
  <si>
    <t>Transition Time for ZVS</t>
    <phoneticPr fontId="25" type="noConversion"/>
  </si>
  <si>
    <r>
      <rPr>
        <b/>
        <sz val="11"/>
        <color theme="1"/>
        <rFont val="Arial"/>
        <family val="2"/>
      </rPr>
      <t xml:space="preserve">Recommended </t>
    </r>
    <r>
      <rPr>
        <sz val="11"/>
        <color theme="1"/>
        <rFont val="Arial"/>
        <family val="2"/>
      </rPr>
      <t>RTZ Resistor</t>
    </r>
    <phoneticPr fontId="25" type="noConversion"/>
  </si>
  <si>
    <r>
      <rPr>
        <b/>
        <sz val="11"/>
        <color theme="1"/>
        <rFont val="Arial"/>
        <family val="2"/>
      </rPr>
      <t xml:space="preserve">Actual </t>
    </r>
    <r>
      <rPr>
        <sz val="11"/>
        <color theme="1"/>
        <rFont val="Arial"/>
        <family val="2"/>
      </rPr>
      <t>RTZ Resistor</t>
    </r>
    <phoneticPr fontId="25" type="noConversion"/>
  </si>
  <si>
    <t>RTZ Resistor Used in Calculations</t>
    <phoneticPr fontId="25" type="noConversion"/>
  </si>
  <si>
    <t>Target Threshold Voltage</t>
    <phoneticPr fontId="25" type="noConversion"/>
  </si>
  <si>
    <r>
      <rPr>
        <b/>
        <sz val="11"/>
        <color theme="1"/>
        <rFont val="Arial"/>
        <family val="2"/>
      </rPr>
      <t xml:space="preserve">Recommended </t>
    </r>
    <r>
      <rPr>
        <sz val="11"/>
        <color theme="1"/>
        <rFont val="Arial"/>
        <family val="2"/>
      </rPr>
      <t>R</t>
    </r>
    <r>
      <rPr>
        <vertAlign val="subscript"/>
        <sz val="11"/>
        <color theme="1"/>
        <rFont val="Arial"/>
        <family val="2"/>
      </rPr>
      <t>BUR2_rec</t>
    </r>
    <r>
      <rPr>
        <sz val="11"/>
        <color theme="1"/>
        <rFont val="Arial"/>
        <family val="2"/>
      </rPr>
      <t xml:space="preserve"> Resistor</t>
    </r>
    <phoneticPr fontId="25" type="noConversion"/>
  </si>
  <si>
    <r>
      <rPr>
        <b/>
        <sz val="11"/>
        <color theme="1"/>
        <rFont val="Arial"/>
        <family val="2"/>
      </rPr>
      <t xml:space="preserve">Actual </t>
    </r>
    <r>
      <rPr>
        <sz val="11"/>
        <color theme="1"/>
        <rFont val="Arial"/>
        <family val="2"/>
      </rPr>
      <t>R</t>
    </r>
    <r>
      <rPr>
        <vertAlign val="subscript"/>
        <sz val="11"/>
        <color theme="1"/>
        <rFont val="Arial"/>
        <family val="2"/>
      </rPr>
      <t>BUR2_act</t>
    </r>
    <r>
      <rPr>
        <sz val="11"/>
        <color theme="1"/>
        <rFont val="Arial"/>
        <family val="2"/>
      </rPr>
      <t xml:space="preserve"> Resistor</t>
    </r>
    <phoneticPr fontId="25" type="noConversion"/>
  </si>
  <si>
    <r>
      <t>R</t>
    </r>
    <r>
      <rPr>
        <vertAlign val="subscript"/>
        <sz val="11"/>
        <color theme="1"/>
        <rFont val="Arial"/>
        <family val="2"/>
      </rPr>
      <t>BUR2</t>
    </r>
    <r>
      <rPr>
        <sz val="11"/>
        <color theme="1"/>
        <rFont val="Arial"/>
        <family val="2"/>
      </rPr>
      <t xml:space="preserve"> Resistor Used in Calculations</t>
    </r>
    <phoneticPr fontId="25" type="noConversion"/>
  </si>
  <si>
    <r>
      <rPr>
        <b/>
        <sz val="11"/>
        <color theme="1"/>
        <rFont val="Arial"/>
        <family val="2"/>
      </rPr>
      <t xml:space="preserve">Recommended </t>
    </r>
    <r>
      <rPr>
        <sz val="11"/>
        <color theme="1"/>
        <rFont val="Arial"/>
        <family val="2"/>
      </rPr>
      <t>R</t>
    </r>
    <r>
      <rPr>
        <vertAlign val="subscript"/>
        <sz val="11"/>
        <color theme="1"/>
        <rFont val="Arial"/>
        <family val="2"/>
      </rPr>
      <t>BUR1_rec</t>
    </r>
    <r>
      <rPr>
        <sz val="11"/>
        <color theme="1"/>
        <rFont val="Arial"/>
        <family val="2"/>
      </rPr>
      <t xml:space="preserve"> Resistor</t>
    </r>
    <phoneticPr fontId="25" type="noConversion"/>
  </si>
  <si>
    <r>
      <rPr>
        <b/>
        <sz val="11"/>
        <color theme="1"/>
        <rFont val="Arial"/>
        <family val="2"/>
      </rPr>
      <t xml:space="preserve">Actual </t>
    </r>
    <r>
      <rPr>
        <sz val="11"/>
        <color theme="1"/>
        <rFont val="Arial"/>
        <family val="2"/>
      </rPr>
      <t>R</t>
    </r>
    <r>
      <rPr>
        <vertAlign val="subscript"/>
        <sz val="11"/>
        <color theme="1"/>
        <rFont val="Arial"/>
        <family val="2"/>
      </rPr>
      <t>BUR1_act</t>
    </r>
    <r>
      <rPr>
        <sz val="11"/>
        <color theme="1"/>
        <rFont val="Arial"/>
        <family val="2"/>
      </rPr>
      <t xml:space="preserve"> Resistor</t>
    </r>
    <phoneticPr fontId="25" type="noConversion"/>
  </si>
  <si>
    <r>
      <t>R</t>
    </r>
    <r>
      <rPr>
        <vertAlign val="subscript"/>
        <sz val="11"/>
        <color theme="1"/>
        <rFont val="Arial"/>
        <family val="2"/>
      </rPr>
      <t>BUR1</t>
    </r>
    <r>
      <rPr>
        <sz val="11"/>
        <color theme="1"/>
        <rFont val="Arial"/>
        <family val="2"/>
      </rPr>
      <t xml:space="preserve"> Resistor Used in Calculations</t>
    </r>
    <phoneticPr fontId="25" type="noConversion"/>
  </si>
  <si>
    <r>
      <rPr>
        <b/>
        <sz val="11"/>
        <color theme="1"/>
        <rFont val="Arial"/>
        <family val="2"/>
      </rPr>
      <t xml:space="preserve">Maximum </t>
    </r>
    <r>
      <rPr>
        <sz val="11"/>
        <color theme="1"/>
        <rFont val="Arial"/>
        <family val="2"/>
      </rPr>
      <t>C</t>
    </r>
    <r>
      <rPr>
        <vertAlign val="subscript"/>
        <sz val="11"/>
        <color theme="1"/>
        <rFont val="Arial"/>
        <family val="2"/>
      </rPr>
      <t>BUR</t>
    </r>
    <r>
      <rPr>
        <sz val="11"/>
        <color theme="1"/>
        <rFont val="Arial"/>
        <family val="2"/>
      </rPr>
      <t xml:space="preserve"> Capacitance</t>
    </r>
    <phoneticPr fontId="25" type="noConversion"/>
  </si>
  <si>
    <r>
      <rPr>
        <b/>
        <sz val="11"/>
        <color theme="1"/>
        <rFont val="Arial"/>
        <family val="2"/>
      </rPr>
      <t xml:space="preserve">Actual </t>
    </r>
    <r>
      <rPr>
        <sz val="11"/>
        <color theme="1"/>
        <rFont val="Arial"/>
        <family val="2"/>
      </rPr>
      <t>C</t>
    </r>
    <r>
      <rPr>
        <vertAlign val="subscript"/>
        <sz val="11"/>
        <color theme="1"/>
        <rFont val="Arial"/>
        <family val="2"/>
      </rPr>
      <t>BUR</t>
    </r>
    <r>
      <rPr>
        <sz val="11"/>
        <color theme="1"/>
        <rFont val="Arial"/>
        <family val="2"/>
      </rPr>
      <t xml:space="preserve"> Capacitance</t>
    </r>
    <phoneticPr fontId="25" type="noConversion"/>
  </si>
  <si>
    <r>
      <t>C</t>
    </r>
    <r>
      <rPr>
        <vertAlign val="subscript"/>
        <sz val="11"/>
        <color theme="1"/>
        <rFont val="Arial"/>
        <family val="2"/>
      </rPr>
      <t>BUR</t>
    </r>
    <r>
      <rPr>
        <sz val="11"/>
        <color theme="1"/>
        <rFont val="Arial"/>
        <family val="2"/>
      </rPr>
      <t xml:space="preserve"> Capacitance Used in Calculations</t>
    </r>
    <phoneticPr fontId="25" type="noConversion"/>
  </si>
  <si>
    <r>
      <rPr>
        <b/>
        <sz val="11"/>
        <color theme="1"/>
        <rFont val="Arial"/>
        <family val="2"/>
      </rPr>
      <t>Minimum</t>
    </r>
    <r>
      <rPr>
        <sz val="11"/>
        <color theme="1"/>
        <rFont val="Arial"/>
        <family val="2"/>
      </rPr>
      <t xml:space="preserve"> Capacitance</t>
    </r>
    <phoneticPr fontId="25" type="noConversion"/>
  </si>
  <si>
    <r>
      <rPr>
        <b/>
        <sz val="11"/>
        <color theme="1"/>
        <rFont val="Arial"/>
        <family val="2"/>
      </rPr>
      <t>Actual</t>
    </r>
    <r>
      <rPr>
        <sz val="11"/>
        <color theme="1"/>
        <rFont val="Arial"/>
        <family val="2"/>
      </rPr>
      <t xml:space="preserve"> Capacitance</t>
    </r>
    <phoneticPr fontId="25" type="noConversion"/>
  </si>
  <si>
    <t>Capacitance Used in Calculations</t>
    <phoneticPr fontId="25" type="noConversion"/>
  </si>
  <si>
    <r>
      <rPr>
        <b/>
        <sz val="11"/>
        <color theme="1"/>
        <rFont val="Arial"/>
        <family val="2"/>
      </rPr>
      <t>Minimum</t>
    </r>
    <r>
      <rPr>
        <sz val="11"/>
        <color theme="1"/>
        <rFont val="Arial"/>
        <family val="2"/>
      </rPr>
      <t xml:space="preserve"> Resistor</t>
    </r>
    <phoneticPr fontId="25" type="noConversion"/>
  </si>
  <si>
    <r>
      <rPr>
        <b/>
        <sz val="11"/>
        <color theme="1"/>
        <rFont val="Arial"/>
        <family val="2"/>
      </rPr>
      <t>Actual</t>
    </r>
    <r>
      <rPr>
        <sz val="11"/>
        <color theme="1"/>
        <rFont val="Arial"/>
        <family val="2"/>
      </rPr>
      <t xml:space="preserve"> Resistor</t>
    </r>
    <phoneticPr fontId="25" type="noConversion"/>
  </si>
  <si>
    <t>Resistor Used in Calculations</t>
    <phoneticPr fontId="25" type="noConversion"/>
  </si>
  <si>
    <r>
      <rPr>
        <b/>
        <sz val="11"/>
        <color theme="1"/>
        <rFont val="Arial"/>
        <family val="2"/>
      </rPr>
      <t>Minimum</t>
    </r>
    <r>
      <rPr>
        <sz val="11"/>
        <color theme="1"/>
        <rFont val="Arial"/>
        <family val="2"/>
      </rPr>
      <t xml:space="preserve"> R</t>
    </r>
    <r>
      <rPr>
        <vertAlign val="subscript"/>
        <sz val="11"/>
        <color theme="1"/>
        <rFont val="Arial"/>
        <family val="2"/>
      </rPr>
      <t>HVG</t>
    </r>
    <r>
      <rPr>
        <sz val="11"/>
        <color theme="1"/>
        <rFont val="Arial"/>
        <family val="2"/>
      </rPr>
      <t xml:space="preserve"> Resistor</t>
    </r>
    <phoneticPr fontId="25" type="noConversion"/>
  </si>
  <si>
    <r>
      <rPr>
        <b/>
        <sz val="11"/>
        <color theme="1"/>
        <rFont val="Arial"/>
        <family val="2"/>
      </rPr>
      <t>Actual</t>
    </r>
    <r>
      <rPr>
        <sz val="11"/>
        <color theme="1"/>
        <rFont val="Arial"/>
        <family val="2"/>
      </rPr>
      <t xml:space="preserve"> R</t>
    </r>
    <r>
      <rPr>
        <vertAlign val="subscript"/>
        <sz val="11"/>
        <color theme="1"/>
        <rFont val="Arial"/>
        <family val="2"/>
      </rPr>
      <t>HVG</t>
    </r>
    <r>
      <rPr>
        <sz val="11"/>
        <color theme="1"/>
        <rFont val="Arial"/>
        <family val="2"/>
      </rPr>
      <t xml:space="preserve"> resistor</t>
    </r>
    <phoneticPr fontId="25" type="noConversion"/>
  </si>
  <si>
    <r>
      <t>R</t>
    </r>
    <r>
      <rPr>
        <vertAlign val="subscript"/>
        <sz val="11"/>
        <color theme="1"/>
        <rFont val="Arial"/>
        <family val="2"/>
      </rPr>
      <t>HVG</t>
    </r>
    <r>
      <rPr>
        <sz val="11"/>
        <color theme="1"/>
        <rFont val="Arial"/>
        <family val="2"/>
      </rPr>
      <t xml:space="preserve"> Resistor Used in Calculations</t>
    </r>
    <phoneticPr fontId="25" type="noConversion"/>
  </si>
  <si>
    <r>
      <rPr>
        <b/>
        <sz val="11"/>
        <color theme="1"/>
        <rFont val="Arial"/>
        <family val="2"/>
      </rPr>
      <t>Minimum</t>
    </r>
    <r>
      <rPr>
        <sz val="11"/>
        <color theme="1"/>
        <rFont val="Arial"/>
        <family val="2"/>
      </rPr>
      <t xml:space="preserve"> C</t>
    </r>
    <r>
      <rPr>
        <vertAlign val="subscript"/>
        <sz val="11"/>
        <color theme="1"/>
        <rFont val="Arial"/>
        <family val="2"/>
      </rPr>
      <t>HVG</t>
    </r>
    <r>
      <rPr>
        <sz val="11"/>
        <color theme="1"/>
        <rFont val="Arial"/>
        <family val="2"/>
      </rPr>
      <t xml:space="preserve"> Capacitance</t>
    </r>
    <phoneticPr fontId="25" type="noConversion"/>
  </si>
  <si>
    <r>
      <rPr>
        <b/>
        <sz val="11"/>
        <color theme="1"/>
        <rFont val="Arial"/>
        <family val="2"/>
      </rPr>
      <t>Actual</t>
    </r>
    <r>
      <rPr>
        <sz val="11"/>
        <color theme="1"/>
        <rFont val="Arial"/>
        <family val="2"/>
      </rPr>
      <t xml:space="preserve"> C</t>
    </r>
    <r>
      <rPr>
        <vertAlign val="subscript"/>
        <sz val="11"/>
        <color theme="1"/>
        <rFont val="Arial"/>
        <family val="2"/>
      </rPr>
      <t>HVG</t>
    </r>
    <r>
      <rPr>
        <sz val="11"/>
        <color theme="1"/>
        <rFont val="Arial"/>
        <family val="2"/>
      </rPr>
      <t xml:space="preserve"> Capacitance</t>
    </r>
    <phoneticPr fontId="25" type="noConversion"/>
  </si>
  <si>
    <r>
      <t>C</t>
    </r>
    <r>
      <rPr>
        <vertAlign val="subscript"/>
        <sz val="11"/>
        <color theme="1"/>
        <rFont val="Arial"/>
        <family val="2"/>
      </rPr>
      <t>HVG</t>
    </r>
    <r>
      <rPr>
        <sz val="11"/>
        <color theme="1"/>
        <rFont val="Arial"/>
        <family val="2"/>
      </rPr>
      <t xml:space="preserve"> Capacitance Used in Calculations</t>
    </r>
    <phoneticPr fontId="25" type="noConversion"/>
  </si>
  <si>
    <r>
      <rPr>
        <b/>
        <sz val="11"/>
        <color theme="1"/>
        <rFont val="Arial"/>
        <family val="2"/>
      </rPr>
      <t>Minimum</t>
    </r>
    <r>
      <rPr>
        <sz val="11"/>
        <color theme="1"/>
        <rFont val="Arial"/>
        <family val="2"/>
      </rPr>
      <t xml:space="preserve"> C</t>
    </r>
    <r>
      <rPr>
        <vertAlign val="subscript"/>
        <sz val="11"/>
        <color theme="1"/>
        <rFont val="Arial"/>
        <family val="2"/>
      </rPr>
      <t>REF</t>
    </r>
    <r>
      <rPr>
        <sz val="11"/>
        <color theme="1"/>
        <rFont val="Arial"/>
        <family val="2"/>
      </rPr>
      <t xml:space="preserve"> Capacitance</t>
    </r>
    <phoneticPr fontId="25" type="noConversion"/>
  </si>
  <si>
    <r>
      <rPr>
        <b/>
        <sz val="11"/>
        <color theme="1"/>
        <rFont val="Arial"/>
        <family val="2"/>
      </rPr>
      <t>Actual</t>
    </r>
    <r>
      <rPr>
        <sz val="11"/>
        <color theme="1"/>
        <rFont val="Arial"/>
        <family val="2"/>
      </rPr>
      <t xml:space="preserve"> C</t>
    </r>
    <r>
      <rPr>
        <vertAlign val="subscript"/>
        <sz val="11"/>
        <color theme="1"/>
        <rFont val="Arial"/>
        <family val="2"/>
      </rPr>
      <t>REF</t>
    </r>
    <r>
      <rPr>
        <sz val="11"/>
        <color theme="1"/>
        <rFont val="Arial"/>
        <family val="2"/>
      </rPr>
      <t xml:space="preserve"> Capacitance</t>
    </r>
    <phoneticPr fontId="25" type="noConversion"/>
  </si>
  <si>
    <r>
      <t>C</t>
    </r>
    <r>
      <rPr>
        <vertAlign val="subscript"/>
        <sz val="11"/>
        <color theme="1"/>
        <rFont val="Arial"/>
        <family val="2"/>
      </rPr>
      <t>REF</t>
    </r>
    <r>
      <rPr>
        <sz val="11"/>
        <color theme="1"/>
        <rFont val="Arial"/>
        <family val="2"/>
      </rPr>
      <t xml:space="preserve"> Capacitance Used in Calculations</t>
    </r>
    <phoneticPr fontId="25" type="noConversion"/>
  </si>
  <si>
    <t>Minimum Boot Capacitance</t>
    <phoneticPr fontId="25" type="noConversion"/>
  </si>
  <si>
    <t>Maximum Boot Capacitance</t>
    <phoneticPr fontId="25" type="noConversion"/>
  </si>
  <si>
    <t>Boot Capacitance Used in Calculations</t>
    <phoneticPr fontId="25" type="noConversion"/>
  </si>
  <si>
    <r>
      <rPr>
        <b/>
        <sz val="11"/>
        <color theme="1"/>
        <rFont val="Arial"/>
        <family val="2"/>
      </rPr>
      <t>Minimum</t>
    </r>
    <r>
      <rPr>
        <sz val="11"/>
        <color theme="1"/>
        <rFont val="Arial"/>
        <family val="2"/>
      </rPr>
      <t xml:space="preserve"> C</t>
    </r>
    <r>
      <rPr>
        <vertAlign val="subscript"/>
        <sz val="11"/>
        <color theme="1"/>
        <rFont val="Arial"/>
        <family val="2"/>
      </rPr>
      <t>DD2</t>
    </r>
    <r>
      <rPr>
        <sz val="11"/>
        <color theme="1"/>
        <rFont val="Arial"/>
        <family val="2"/>
      </rPr>
      <t/>
    </r>
    <phoneticPr fontId="25" type="noConversion"/>
  </si>
  <si>
    <r>
      <t>C</t>
    </r>
    <r>
      <rPr>
        <vertAlign val="subscript"/>
        <sz val="11"/>
        <color theme="1"/>
        <rFont val="Arial"/>
        <family val="2"/>
      </rPr>
      <t>DD2</t>
    </r>
    <r>
      <rPr>
        <sz val="11"/>
        <color theme="1"/>
        <rFont val="Arial"/>
        <family val="2"/>
      </rPr>
      <t xml:space="preserve"> Used in Calculations</t>
    </r>
    <phoneticPr fontId="25" type="noConversion"/>
  </si>
  <si>
    <r>
      <rPr>
        <b/>
        <sz val="11"/>
        <color theme="1"/>
        <rFont val="Arial"/>
        <family val="2"/>
      </rPr>
      <t>Minimum</t>
    </r>
    <r>
      <rPr>
        <sz val="11"/>
        <color theme="1"/>
        <rFont val="Arial"/>
        <family val="2"/>
      </rPr>
      <t xml:space="preserve"> R</t>
    </r>
    <r>
      <rPr>
        <vertAlign val="subscript"/>
        <sz val="11"/>
        <color theme="1"/>
        <rFont val="Arial"/>
        <family val="2"/>
      </rPr>
      <t>DD2</t>
    </r>
    <phoneticPr fontId="25" type="noConversion"/>
  </si>
  <si>
    <r>
      <t>R</t>
    </r>
    <r>
      <rPr>
        <vertAlign val="subscript"/>
        <sz val="11"/>
        <color theme="1"/>
        <rFont val="Arial"/>
        <family val="2"/>
      </rPr>
      <t>DD2</t>
    </r>
    <r>
      <rPr>
        <sz val="11"/>
        <color theme="1"/>
        <rFont val="Arial"/>
        <family val="2"/>
      </rPr>
      <t xml:space="preserve"> Used in Calculations</t>
    </r>
    <phoneticPr fontId="25" type="noConversion"/>
  </si>
  <si>
    <t>Output Voltage Reflect to Auxiliary Winding</t>
    <phoneticPr fontId="25" type="noConversion"/>
  </si>
  <si>
    <r>
      <rPr>
        <b/>
        <sz val="11"/>
        <color theme="1"/>
        <rFont val="Arial"/>
        <family val="2"/>
      </rPr>
      <t>Minimum</t>
    </r>
    <r>
      <rPr>
        <sz val="11"/>
        <color theme="1"/>
        <rFont val="Arial"/>
        <family val="2"/>
      </rPr>
      <t xml:space="preserve"> R</t>
    </r>
    <r>
      <rPr>
        <vertAlign val="subscript"/>
        <sz val="11"/>
        <color theme="1"/>
        <rFont val="Arial"/>
        <family val="2"/>
      </rPr>
      <t>DD1</t>
    </r>
    <r>
      <rPr>
        <sz val="11"/>
        <color theme="1"/>
        <rFont val="Arial"/>
        <family val="2"/>
      </rPr>
      <t/>
    </r>
    <phoneticPr fontId="25" type="noConversion"/>
  </si>
  <si>
    <r>
      <rPr>
        <b/>
        <sz val="11"/>
        <rFont val="Arial"/>
        <family val="2"/>
      </rPr>
      <t>Actual</t>
    </r>
    <r>
      <rPr>
        <sz val="11"/>
        <rFont val="Arial"/>
        <family val="2"/>
      </rPr>
      <t xml:space="preserve"> R</t>
    </r>
    <r>
      <rPr>
        <vertAlign val="subscript"/>
        <sz val="11"/>
        <rFont val="Arial"/>
        <family val="2"/>
      </rPr>
      <t>DD1</t>
    </r>
    <r>
      <rPr>
        <sz val="11"/>
        <rFont val="Arial"/>
        <family val="2"/>
      </rPr>
      <t/>
    </r>
    <phoneticPr fontId="25" type="noConversion"/>
  </si>
  <si>
    <r>
      <t>R</t>
    </r>
    <r>
      <rPr>
        <vertAlign val="subscript"/>
        <sz val="11"/>
        <color theme="1"/>
        <rFont val="Arial"/>
        <family val="2"/>
      </rPr>
      <t>DD1</t>
    </r>
    <r>
      <rPr>
        <sz val="11"/>
        <color theme="1"/>
        <rFont val="Arial"/>
        <family val="2"/>
      </rPr>
      <t xml:space="preserve"> Used in Calculations</t>
    </r>
    <phoneticPr fontId="25" type="noConversion"/>
  </si>
  <si>
    <t>Require Time on HVG Pin</t>
    <phoneticPr fontId="25" type="noConversion"/>
  </si>
  <si>
    <t>Vout Startup Time</t>
    <phoneticPr fontId="25" type="noConversion"/>
  </si>
  <si>
    <r>
      <rPr>
        <b/>
        <sz val="11"/>
        <color theme="1"/>
        <rFont val="Arial"/>
        <family val="2"/>
      </rPr>
      <t>Recommended</t>
    </r>
    <r>
      <rPr>
        <sz val="11"/>
        <color theme="1"/>
        <rFont val="Arial"/>
        <family val="2"/>
      </rPr>
      <t xml:space="preserve"> C</t>
    </r>
    <r>
      <rPr>
        <vertAlign val="subscript"/>
        <sz val="11"/>
        <color theme="1"/>
        <rFont val="Arial"/>
        <family val="2"/>
      </rPr>
      <t>DD1</t>
    </r>
    <r>
      <rPr>
        <sz val="11"/>
        <color theme="1"/>
        <rFont val="Arial"/>
        <family val="2"/>
      </rPr>
      <t xml:space="preserve"> Capacitance</t>
    </r>
    <phoneticPr fontId="25" type="noConversion"/>
  </si>
  <si>
    <r>
      <rPr>
        <b/>
        <sz val="11"/>
        <color theme="1"/>
        <rFont val="Arial"/>
        <family val="2"/>
      </rPr>
      <t>Actual</t>
    </r>
    <r>
      <rPr>
        <sz val="11"/>
        <color theme="1"/>
        <rFont val="Arial"/>
        <family val="2"/>
      </rPr>
      <t xml:space="preserve"> C</t>
    </r>
    <r>
      <rPr>
        <vertAlign val="subscript"/>
        <sz val="11"/>
        <color theme="1"/>
        <rFont val="Arial"/>
        <family val="2"/>
      </rPr>
      <t>DD1</t>
    </r>
    <r>
      <rPr>
        <sz val="11"/>
        <color theme="1"/>
        <rFont val="Arial"/>
        <family val="2"/>
      </rPr>
      <t xml:space="preserve"> Capacitance</t>
    </r>
    <phoneticPr fontId="25" type="noConversion"/>
  </si>
  <si>
    <r>
      <t>C</t>
    </r>
    <r>
      <rPr>
        <vertAlign val="subscript"/>
        <sz val="11"/>
        <color theme="1"/>
        <rFont val="Arial"/>
        <family val="2"/>
      </rPr>
      <t>DD1</t>
    </r>
    <r>
      <rPr>
        <sz val="11"/>
        <color theme="1"/>
        <rFont val="Arial"/>
        <family val="2"/>
      </rPr>
      <t xml:space="preserve"> Capacitance Used in Calculations</t>
    </r>
    <phoneticPr fontId="25" type="noConversion"/>
  </si>
  <si>
    <r>
      <rPr>
        <b/>
        <sz val="11"/>
        <color theme="1"/>
        <rFont val="Arial"/>
        <family val="2"/>
      </rPr>
      <t>Maximum</t>
    </r>
    <r>
      <rPr>
        <sz val="11"/>
        <color theme="1"/>
        <rFont val="Arial"/>
        <family val="2"/>
      </rPr>
      <t xml:space="preserve"> Feedback Pin Resistor</t>
    </r>
    <phoneticPr fontId="25" type="noConversion"/>
  </si>
  <si>
    <r>
      <rPr>
        <b/>
        <sz val="11"/>
        <color theme="1"/>
        <rFont val="Arial"/>
        <family val="2"/>
      </rPr>
      <t>Actual</t>
    </r>
    <r>
      <rPr>
        <sz val="11"/>
        <color theme="1"/>
        <rFont val="Arial"/>
        <family val="2"/>
      </rPr>
      <t xml:space="preserve"> Feedback Pin Resistor</t>
    </r>
    <phoneticPr fontId="25" type="noConversion"/>
  </si>
  <si>
    <t>Feedback Pin Resistor Used in Calculations</t>
    <phoneticPr fontId="25" type="noConversion"/>
  </si>
  <si>
    <r>
      <t>Recommended C</t>
    </r>
    <r>
      <rPr>
        <vertAlign val="subscript"/>
        <sz val="11"/>
        <color theme="1"/>
        <rFont val="Arial"/>
        <family val="2"/>
      </rPr>
      <t>FB</t>
    </r>
    <r>
      <rPr>
        <sz val="11"/>
        <color theme="1"/>
        <rFont val="Arial"/>
        <family val="2"/>
      </rPr>
      <t/>
    </r>
    <phoneticPr fontId="25" type="noConversion"/>
  </si>
  <si>
    <r>
      <rPr>
        <b/>
        <sz val="11"/>
        <color theme="1"/>
        <rFont val="Arial"/>
        <family val="2"/>
      </rPr>
      <t>Recommended</t>
    </r>
    <r>
      <rPr>
        <sz val="11"/>
        <color theme="1"/>
        <rFont val="Arial"/>
        <family val="2"/>
      </rPr>
      <t xml:space="preserve"> Bias Resistor 2</t>
    </r>
    <phoneticPr fontId="25" type="noConversion"/>
  </si>
  <si>
    <t>Bias Resistor 2 Used in Calculations</t>
    <phoneticPr fontId="25" type="noConversion"/>
  </si>
  <si>
    <r>
      <rPr>
        <b/>
        <sz val="11"/>
        <color theme="1"/>
        <rFont val="Arial"/>
        <family val="2"/>
      </rPr>
      <t>Actual</t>
    </r>
    <r>
      <rPr>
        <sz val="11"/>
        <color theme="1"/>
        <rFont val="Arial"/>
        <family val="2"/>
      </rPr>
      <t xml:space="preserve"> Bias Resistor 2</t>
    </r>
    <phoneticPr fontId="25" type="noConversion"/>
  </si>
  <si>
    <r>
      <t>Minimum for R</t>
    </r>
    <r>
      <rPr>
        <vertAlign val="subscript"/>
        <sz val="11"/>
        <color theme="1"/>
        <rFont val="Arial"/>
        <family val="2"/>
      </rPr>
      <t>bias1</t>
    </r>
    <r>
      <rPr>
        <sz val="11"/>
        <color theme="1"/>
        <rFont val="Arial"/>
        <family val="2"/>
      </rPr>
      <t/>
    </r>
    <phoneticPr fontId="25" type="noConversion"/>
  </si>
  <si>
    <r>
      <t>Maximum for R</t>
    </r>
    <r>
      <rPr>
        <vertAlign val="subscript"/>
        <sz val="11"/>
        <color theme="1"/>
        <rFont val="Arial"/>
        <family val="2"/>
      </rPr>
      <t>bias1</t>
    </r>
    <r>
      <rPr>
        <sz val="11"/>
        <color theme="1"/>
        <rFont val="Arial"/>
        <family val="2"/>
      </rPr>
      <t/>
    </r>
    <phoneticPr fontId="25" type="noConversion"/>
  </si>
  <si>
    <r>
      <t>R</t>
    </r>
    <r>
      <rPr>
        <vertAlign val="subscript"/>
        <sz val="11"/>
        <color theme="1"/>
        <rFont val="Arial"/>
        <family val="2"/>
      </rPr>
      <t>bias1</t>
    </r>
    <r>
      <rPr>
        <sz val="11"/>
        <color theme="1"/>
        <rFont val="Arial"/>
        <family val="2"/>
      </rPr>
      <t xml:space="preserve"> Used in Calculations</t>
    </r>
    <phoneticPr fontId="25" type="noConversion"/>
  </si>
  <si>
    <r>
      <rPr>
        <b/>
        <sz val="11"/>
        <color theme="1"/>
        <rFont val="Arial"/>
        <family val="2"/>
      </rPr>
      <t>Actual</t>
    </r>
    <r>
      <rPr>
        <sz val="11"/>
        <color theme="1"/>
        <rFont val="Arial"/>
        <family val="2"/>
      </rPr>
      <t xml:space="preserve"> R</t>
    </r>
    <r>
      <rPr>
        <vertAlign val="subscript"/>
        <sz val="11"/>
        <color theme="1"/>
        <rFont val="Arial"/>
        <family val="2"/>
      </rPr>
      <t>Vo2</t>
    </r>
    <r>
      <rPr>
        <sz val="11"/>
        <color theme="1"/>
        <rFont val="Arial"/>
        <family val="2"/>
      </rPr>
      <t xml:space="preserve"> Resistor</t>
    </r>
    <phoneticPr fontId="25" type="noConversion"/>
  </si>
  <si>
    <r>
      <t>R</t>
    </r>
    <r>
      <rPr>
        <vertAlign val="subscript"/>
        <sz val="11"/>
        <color theme="1"/>
        <rFont val="Arial"/>
        <family val="2"/>
      </rPr>
      <t>Vo2</t>
    </r>
    <r>
      <rPr>
        <sz val="11"/>
        <color theme="1"/>
        <rFont val="Arial"/>
        <family val="2"/>
      </rPr>
      <t xml:space="preserve"> Resistor Used in Calculations</t>
    </r>
    <phoneticPr fontId="25" type="noConversion"/>
  </si>
  <si>
    <r>
      <rPr>
        <b/>
        <sz val="11"/>
        <color theme="1"/>
        <rFont val="Arial"/>
        <family val="2"/>
      </rPr>
      <t>Recommended</t>
    </r>
    <r>
      <rPr>
        <sz val="11"/>
        <color theme="1"/>
        <rFont val="Arial"/>
        <family val="2"/>
      </rPr>
      <t xml:space="preserve"> R</t>
    </r>
    <r>
      <rPr>
        <vertAlign val="subscript"/>
        <sz val="11"/>
        <color theme="1"/>
        <rFont val="Arial"/>
        <family val="2"/>
      </rPr>
      <t>Vo1</t>
    </r>
    <r>
      <rPr>
        <sz val="11"/>
        <color theme="1"/>
        <rFont val="Arial"/>
        <family val="2"/>
      </rPr>
      <t xml:space="preserve"> Resistor</t>
    </r>
    <phoneticPr fontId="25" type="noConversion"/>
  </si>
  <si>
    <r>
      <rPr>
        <b/>
        <sz val="11"/>
        <color theme="1"/>
        <rFont val="Arial"/>
        <family val="2"/>
      </rPr>
      <t>Actual</t>
    </r>
    <r>
      <rPr>
        <sz val="11"/>
        <color theme="1"/>
        <rFont val="Arial"/>
        <family val="2"/>
      </rPr>
      <t xml:space="preserve"> R</t>
    </r>
    <r>
      <rPr>
        <vertAlign val="subscript"/>
        <sz val="11"/>
        <color theme="1"/>
        <rFont val="Arial"/>
        <family val="2"/>
      </rPr>
      <t>Vo1</t>
    </r>
    <r>
      <rPr>
        <sz val="11"/>
        <color theme="1"/>
        <rFont val="Arial"/>
        <family val="2"/>
      </rPr>
      <t xml:space="preserve"> Resistor</t>
    </r>
    <phoneticPr fontId="25" type="noConversion"/>
  </si>
  <si>
    <r>
      <t>R</t>
    </r>
    <r>
      <rPr>
        <vertAlign val="subscript"/>
        <sz val="11"/>
        <color theme="1"/>
        <rFont val="Arial"/>
        <family val="2"/>
      </rPr>
      <t>Vo1</t>
    </r>
    <r>
      <rPr>
        <sz val="11"/>
        <color theme="1"/>
        <rFont val="Arial"/>
        <family val="2"/>
      </rPr>
      <t xml:space="preserve"> Resistor Used in Calculations</t>
    </r>
    <phoneticPr fontId="25" type="noConversion"/>
  </si>
  <si>
    <t>Typical Output Voltage</t>
    <phoneticPr fontId="25" type="noConversion"/>
  </si>
  <si>
    <r>
      <rPr>
        <b/>
        <sz val="11"/>
        <color theme="1"/>
        <rFont val="Arial"/>
        <family val="2"/>
      </rPr>
      <t>Recommended</t>
    </r>
    <r>
      <rPr>
        <sz val="11"/>
        <color theme="1"/>
        <rFont val="Arial"/>
        <family val="2"/>
      </rPr>
      <t xml:space="preserve"> C</t>
    </r>
    <r>
      <rPr>
        <vertAlign val="subscript"/>
        <sz val="11"/>
        <color theme="1"/>
        <rFont val="Arial"/>
        <family val="2"/>
      </rPr>
      <t>diff</t>
    </r>
    <phoneticPr fontId="25" type="noConversion"/>
  </si>
  <si>
    <r>
      <rPr>
        <b/>
        <sz val="11"/>
        <color theme="1"/>
        <rFont val="Arial"/>
        <family val="2"/>
      </rPr>
      <t>Actual</t>
    </r>
    <r>
      <rPr>
        <sz val="11"/>
        <color theme="1"/>
        <rFont val="Arial"/>
        <family val="2"/>
      </rPr>
      <t xml:space="preserve"> C</t>
    </r>
    <r>
      <rPr>
        <vertAlign val="subscript"/>
        <sz val="11"/>
        <color theme="1"/>
        <rFont val="Arial"/>
        <family val="2"/>
      </rPr>
      <t>diff</t>
    </r>
    <phoneticPr fontId="25" type="noConversion"/>
  </si>
  <si>
    <r>
      <t>C</t>
    </r>
    <r>
      <rPr>
        <vertAlign val="subscript"/>
        <sz val="11"/>
        <color theme="1"/>
        <rFont val="Arial"/>
        <family val="2"/>
      </rPr>
      <t xml:space="preserve">diff </t>
    </r>
    <r>
      <rPr>
        <sz val="11"/>
        <color theme="1"/>
        <rFont val="Arial"/>
        <family val="2"/>
      </rPr>
      <t>Used in Calculations</t>
    </r>
    <phoneticPr fontId="25" type="noConversion"/>
  </si>
  <si>
    <r>
      <rPr>
        <b/>
        <sz val="11"/>
        <color theme="1"/>
        <rFont val="Arial"/>
        <family val="2"/>
      </rPr>
      <t>Recommended</t>
    </r>
    <r>
      <rPr>
        <sz val="11"/>
        <color theme="1"/>
        <rFont val="Arial"/>
        <family val="2"/>
      </rPr>
      <t xml:space="preserve"> R</t>
    </r>
    <r>
      <rPr>
        <vertAlign val="subscript"/>
        <sz val="11"/>
        <color theme="1"/>
        <rFont val="Arial"/>
        <family val="2"/>
      </rPr>
      <t>diff</t>
    </r>
    <phoneticPr fontId="25" type="noConversion"/>
  </si>
  <si>
    <r>
      <rPr>
        <b/>
        <sz val="11"/>
        <color theme="1"/>
        <rFont val="Arial"/>
        <family val="2"/>
      </rPr>
      <t>Actual</t>
    </r>
    <r>
      <rPr>
        <sz val="11"/>
        <color theme="1"/>
        <rFont val="Arial"/>
        <family val="2"/>
      </rPr>
      <t xml:space="preserve"> R</t>
    </r>
    <r>
      <rPr>
        <vertAlign val="subscript"/>
        <sz val="11"/>
        <color theme="1"/>
        <rFont val="Arial"/>
        <family val="2"/>
      </rPr>
      <t>diff</t>
    </r>
    <phoneticPr fontId="25" type="noConversion"/>
  </si>
  <si>
    <r>
      <t>R</t>
    </r>
    <r>
      <rPr>
        <vertAlign val="subscript"/>
        <sz val="11"/>
        <color theme="1"/>
        <rFont val="Arial"/>
        <family val="2"/>
      </rPr>
      <t xml:space="preserve">diff </t>
    </r>
    <r>
      <rPr>
        <sz val="11"/>
        <color theme="1"/>
        <rFont val="Arial"/>
        <family val="2"/>
      </rPr>
      <t>Used in Calculations</t>
    </r>
    <phoneticPr fontId="25" type="noConversion"/>
  </si>
  <si>
    <r>
      <rPr>
        <b/>
        <sz val="11"/>
        <color theme="1"/>
        <rFont val="Arial"/>
        <family val="2"/>
      </rPr>
      <t>Recommended</t>
    </r>
    <r>
      <rPr>
        <sz val="11"/>
        <color theme="1"/>
        <rFont val="Arial"/>
        <family val="2"/>
      </rPr>
      <t xml:space="preserve"> C</t>
    </r>
    <r>
      <rPr>
        <vertAlign val="subscript"/>
        <sz val="11"/>
        <color theme="1"/>
        <rFont val="Arial"/>
        <family val="2"/>
      </rPr>
      <t>int</t>
    </r>
    <phoneticPr fontId="25" type="noConversion"/>
  </si>
  <si>
    <r>
      <rPr>
        <b/>
        <sz val="11"/>
        <color theme="1"/>
        <rFont val="Arial"/>
        <family val="2"/>
      </rPr>
      <t>Actual</t>
    </r>
    <r>
      <rPr>
        <sz val="11"/>
        <color theme="1"/>
        <rFont val="Arial"/>
        <family val="2"/>
      </rPr>
      <t xml:space="preserve"> C</t>
    </r>
    <r>
      <rPr>
        <vertAlign val="subscript"/>
        <sz val="11"/>
        <color theme="1"/>
        <rFont val="Arial"/>
        <family val="2"/>
      </rPr>
      <t>int</t>
    </r>
    <phoneticPr fontId="25" type="noConversion"/>
  </si>
  <si>
    <r>
      <t>C</t>
    </r>
    <r>
      <rPr>
        <vertAlign val="subscript"/>
        <sz val="11"/>
        <color theme="1"/>
        <rFont val="Arial"/>
        <family val="2"/>
      </rPr>
      <t xml:space="preserve">int </t>
    </r>
    <r>
      <rPr>
        <sz val="11"/>
        <color theme="1"/>
        <rFont val="Arial"/>
        <family val="2"/>
      </rPr>
      <t>Used in Calculations</t>
    </r>
    <phoneticPr fontId="25" type="noConversion"/>
  </si>
  <si>
    <r>
      <t>R</t>
    </r>
    <r>
      <rPr>
        <vertAlign val="subscript"/>
        <sz val="11"/>
        <color theme="1"/>
        <rFont val="Arial"/>
        <family val="2"/>
      </rPr>
      <t xml:space="preserve">int </t>
    </r>
    <r>
      <rPr>
        <sz val="11"/>
        <color theme="1"/>
        <rFont val="Arial"/>
        <family val="2"/>
      </rPr>
      <t>Used in Calculations</t>
    </r>
    <phoneticPr fontId="25" type="noConversion"/>
  </si>
  <si>
    <t>Upper Threshold of Burst Rate Frequency in Adaptive Burst Mode</t>
    <phoneticPr fontId="25" type="noConversion"/>
  </si>
  <si>
    <t>%</t>
    <phoneticPr fontId="25" type="noConversion"/>
  </si>
  <si>
    <t>Estimate Minimum Power Stage Efficiency</t>
    <phoneticPr fontId="25" type="noConversion"/>
  </si>
  <si>
    <t>Fault Delay Recovery Time</t>
    <phoneticPr fontId="25" type="noConversion"/>
  </si>
  <si>
    <t>Estimate Current Sense Filter Delay</t>
    <phoneticPr fontId="25" type="noConversion"/>
  </si>
  <si>
    <r>
      <t>T</t>
    </r>
    <r>
      <rPr>
        <vertAlign val="subscript"/>
        <sz val="11"/>
        <color theme="1"/>
        <rFont val="Arial"/>
        <family val="2"/>
      </rPr>
      <t>D_CS_filter</t>
    </r>
    <r>
      <rPr>
        <sz val="11"/>
        <color theme="1"/>
        <rFont val="Arial"/>
        <family val="2"/>
      </rPr>
      <t xml:space="preserve"> =</t>
    </r>
    <phoneticPr fontId="25" type="noConversion"/>
  </si>
  <si>
    <t>Current Sense Capacitance Used in Calculations</t>
    <phoneticPr fontId="25" type="noConversion"/>
  </si>
  <si>
    <r>
      <t>C</t>
    </r>
    <r>
      <rPr>
        <vertAlign val="subscript"/>
        <sz val="11"/>
        <color theme="1"/>
        <rFont val="Arial"/>
        <family val="2"/>
      </rPr>
      <t xml:space="preserve">CS </t>
    </r>
    <r>
      <rPr>
        <sz val="11"/>
        <color theme="1"/>
        <rFont val="Arial"/>
        <family val="2"/>
      </rPr>
      <t>=</t>
    </r>
    <phoneticPr fontId="25" type="noConversion"/>
  </si>
  <si>
    <t>pF</t>
    <phoneticPr fontId="25" type="noConversion"/>
  </si>
  <si>
    <t>Actual Current Sense Filter Delay</t>
    <phoneticPr fontId="25" type="noConversion"/>
  </si>
  <si>
    <r>
      <t>T</t>
    </r>
    <r>
      <rPr>
        <vertAlign val="subscript"/>
        <sz val="11"/>
        <color theme="1"/>
        <rFont val="Arial"/>
        <family val="2"/>
      </rPr>
      <t>D_CS_filter_act</t>
    </r>
    <r>
      <rPr>
        <sz val="11"/>
        <color theme="1"/>
        <rFont val="Arial"/>
        <family val="2"/>
      </rPr>
      <t xml:space="preserve"> =</t>
    </r>
    <phoneticPr fontId="25" type="noConversion"/>
  </si>
  <si>
    <t>ns</t>
    <phoneticPr fontId="25" type="noConversion"/>
  </si>
  <si>
    <r>
      <t>L</t>
    </r>
    <r>
      <rPr>
        <vertAlign val="subscript"/>
        <sz val="11"/>
        <color theme="1"/>
        <rFont val="Arial"/>
        <family val="2"/>
      </rPr>
      <t>DAMP</t>
    </r>
    <r>
      <rPr>
        <sz val="11"/>
        <color theme="1"/>
        <rFont val="Arial"/>
        <family val="2"/>
      </rPr>
      <t xml:space="preserve"> no smaller than</t>
    </r>
    <phoneticPr fontId="25" type="noConversion"/>
  </si>
  <si>
    <r>
      <t>Decrease L</t>
    </r>
    <r>
      <rPr>
        <vertAlign val="subscript"/>
        <sz val="11"/>
        <color theme="1"/>
        <rFont val="Arial"/>
        <family val="2"/>
      </rPr>
      <t>DAMP</t>
    </r>
    <r>
      <rPr>
        <sz val="11"/>
        <color theme="1"/>
        <rFont val="Arial"/>
        <family val="2"/>
      </rPr>
      <t xml:space="preserve"> for stronger damping ==&gt; Lower V</t>
    </r>
    <r>
      <rPr>
        <vertAlign val="subscript"/>
        <sz val="11"/>
        <color theme="1"/>
        <rFont val="Arial"/>
        <family val="2"/>
      </rPr>
      <t>Co1</t>
    </r>
    <r>
      <rPr>
        <sz val="11"/>
        <color theme="1"/>
        <rFont val="Arial"/>
        <family val="2"/>
      </rPr>
      <t xml:space="preserve"> ripple ==&gt; stable V</t>
    </r>
    <r>
      <rPr>
        <vertAlign val="subscript"/>
        <sz val="11"/>
        <color theme="1"/>
        <rFont val="Arial"/>
        <family val="2"/>
      </rPr>
      <t>gs(SR)</t>
    </r>
    <r>
      <rPr>
        <sz val="11"/>
        <color theme="1"/>
        <rFont val="Arial"/>
        <family val="2"/>
      </rPr>
      <t xml:space="preserve"> ==&gt; Lower efficiency</t>
    </r>
    <phoneticPr fontId="25" type="noConversion"/>
  </si>
  <si>
    <r>
      <t>Higher Efficiency &lt;==Unstable V</t>
    </r>
    <r>
      <rPr>
        <vertAlign val="subscript"/>
        <sz val="11"/>
        <color theme="1"/>
        <rFont val="Arial"/>
        <family val="2"/>
      </rPr>
      <t xml:space="preserve">gs(SR) </t>
    </r>
    <r>
      <rPr>
        <sz val="11"/>
        <color theme="1"/>
        <rFont val="Arial"/>
        <family val="2"/>
      </rPr>
      <t>&lt;==Higher V</t>
    </r>
    <r>
      <rPr>
        <vertAlign val="subscript"/>
        <sz val="11"/>
        <color theme="1"/>
        <rFont val="Arial"/>
        <family val="2"/>
      </rPr>
      <t>Co1</t>
    </r>
    <r>
      <rPr>
        <sz val="11"/>
        <color theme="1"/>
        <rFont val="Arial"/>
        <family val="2"/>
      </rPr>
      <t xml:space="preserve"> ripple &lt;==Increase L</t>
    </r>
    <r>
      <rPr>
        <vertAlign val="subscript"/>
        <sz val="11"/>
        <color theme="1"/>
        <rFont val="Arial"/>
        <family val="2"/>
      </rPr>
      <t>DAMP</t>
    </r>
    <r>
      <rPr>
        <sz val="11"/>
        <color theme="1"/>
        <rFont val="Arial"/>
        <family val="2"/>
      </rPr>
      <t xml:space="preserve"> for weaker damping</t>
    </r>
    <phoneticPr fontId="25" type="noConversion"/>
  </si>
  <si>
    <t>1.Capture transformer primary current ILr to fine tune, during low line and Io_max</t>
    <phoneticPr fontId="25" type="noConversion"/>
  </si>
  <si>
    <t>V</t>
    <phoneticPr fontId="25" type="noConversion"/>
  </si>
  <si>
    <t>Secordary Turns Used in Calculations</t>
    <phoneticPr fontId="25" type="noConversion"/>
  </si>
  <si>
    <t>µF</t>
    <phoneticPr fontId="25" type="noConversion"/>
  </si>
  <si>
    <r>
      <t>Suggested 10*C</t>
    </r>
    <r>
      <rPr>
        <vertAlign val="subscript"/>
        <sz val="11"/>
        <color theme="1"/>
        <rFont val="Arial"/>
        <family val="2"/>
      </rPr>
      <t>boot</t>
    </r>
    <phoneticPr fontId="25" type="noConversion"/>
  </si>
  <si>
    <t>Ω</t>
    <phoneticPr fontId="25" type="noConversion"/>
  </si>
  <si>
    <r>
      <t>Suggested 10*R</t>
    </r>
    <r>
      <rPr>
        <vertAlign val="subscript"/>
        <sz val="11"/>
        <color theme="1"/>
        <rFont val="Arial"/>
        <family val="2"/>
      </rPr>
      <t>CS</t>
    </r>
    <phoneticPr fontId="25" type="noConversion"/>
  </si>
  <si>
    <t>Maximum Bias Resistor 1 During SBP mode</t>
    <phoneticPr fontId="25" type="noConversion"/>
  </si>
  <si>
    <t>Maximum Bias Resistor 1 During ABM mode</t>
    <phoneticPr fontId="25" type="noConversion"/>
  </si>
  <si>
    <t>Shunt Regulator Part Number</t>
    <phoneticPr fontId="25" type="noConversion"/>
  </si>
  <si>
    <r>
      <t>Recommended R</t>
    </r>
    <r>
      <rPr>
        <vertAlign val="subscript"/>
        <sz val="11"/>
        <color theme="1"/>
        <rFont val="Arial"/>
        <family val="2"/>
      </rPr>
      <t>COMP</t>
    </r>
    <phoneticPr fontId="25" type="noConversion"/>
  </si>
  <si>
    <r>
      <t>R</t>
    </r>
    <r>
      <rPr>
        <vertAlign val="subscript"/>
        <sz val="11"/>
        <color theme="1"/>
        <rFont val="Arial"/>
        <family val="2"/>
      </rPr>
      <t>COMP</t>
    </r>
    <r>
      <rPr>
        <sz val="11"/>
        <color theme="1"/>
        <rFont val="Arial"/>
        <family val="2"/>
      </rPr>
      <t>=</t>
    </r>
    <phoneticPr fontId="25" type="noConversion"/>
  </si>
  <si>
    <r>
      <t>R</t>
    </r>
    <r>
      <rPr>
        <b/>
        <vertAlign val="subscript"/>
        <sz val="12"/>
        <color rgb="FFFF0000"/>
        <rFont val="Arial"/>
        <family val="2"/>
      </rPr>
      <t>COMP</t>
    </r>
    <phoneticPr fontId="25" type="noConversion"/>
  </si>
  <si>
    <t>MΩ</t>
    <phoneticPr fontId="25" type="noConversion"/>
  </si>
  <si>
    <r>
      <t>Increase C</t>
    </r>
    <r>
      <rPr>
        <vertAlign val="subscript"/>
        <sz val="11"/>
        <color theme="1"/>
        <rFont val="Arial"/>
        <family val="2"/>
      </rPr>
      <t>o1</t>
    </r>
    <phoneticPr fontId="25" type="noConversion"/>
  </si>
  <si>
    <r>
      <t>Reduce R</t>
    </r>
    <r>
      <rPr>
        <vertAlign val="subscript"/>
        <sz val="11"/>
        <color theme="1"/>
        <rFont val="Arial"/>
        <family val="2"/>
      </rPr>
      <t>COMP</t>
    </r>
    <r>
      <rPr>
        <sz val="11"/>
        <color theme="1"/>
        <rFont val="Arial"/>
        <family val="2"/>
      </rPr>
      <t xml:space="preserve"> ==&gt; Larger I</t>
    </r>
    <r>
      <rPr>
        <vertAlign val="subscript"/>
        <sz val="11"/>
        <color theme="1"/>
        <rFont val="Arial"/>
        <family val="2"/>
      </rPr>
      <t>COMP</t>
    </r>
    <r>
      <rPr>
        <sz val="11"/>
        <color theme="1"/>
        <rFont val="Arial"/>
        <family val="2"/>
      </rPr>
      <t xml:space="preserve"> ==&gt; More stable ABM mode</t>
    </r>
    <phoneticPr fontId="25" type="noConversion"/>
  </si>
  <si>
    <r>
      <t>Input Current Pulse Rating, I</t>
    </r>
    <r>
      <rPr>
        <vertAlign val="subscript"/>
        <sz val="11"/>
        <color theme="1"/>
        <rFont val="Arial"/>
        <family val="2"/>
      </rPr>
      <t>QL_max</t>
    </r>
    <r>
      <rPr>
        <sz val="11"/>
        <color theme="1"/>
        <rFont val="Arial"/>
        <family val="2"/>
      </rPr>
      <t xml:space="preserve"> =</t>
    </r>
    <phoneticPr fontId="25" type="noConversion"/>
  </si>
  <si>
    <t>QH Part Number</t>
    <phoneticPr fontId="25" type="noConversion"/>
  </si>
  <si>
    <t>QL Part Number</t>
    <phoneticPr fontId="25" type="noConversion"/>
  </si>
  <si>
    <t>Clamp Cap DC Bias Derating</t>
    <phoneticPr fontId="25" type="noConversion"/>
  </si>
  <si>
    <r>
      <t>D</t>
    </r>
    <r>
      <rPr>
        <vertAlign val="subscript"/>
        <sz val="11"/>
        <color theme="1"/>
        <rFont val="Arial"/>
        <family val="2"/>
      </rPr>
      <t>rea_clamp</t>
    </r>
    <r>
      <rPr>
        <sz val="11"/>
        <color theme="1"/>
        <rFont val="Arial"/>
        <family val="2"/>
      </rPr>
      <t>=</t>
    </r>
    <phoneticPr fontId="25" type="noConversion"/>
  </si>
  <si>
    <r>
      <t>C</t>
    </r>
    <r>
      <rPr>
        <vertAlign val="subscript"/>
        <sz val="11"/>
        <color theme="1"/>
        <rFont val="Arial"/>
        <family val="2"/>
      </rPr>
      <t>DD1</t>
    </r>
    <r>
      <rPr>
        <sz val="11"/>
        <color theme="1"/>
        <rFont val="Arial"/>
        <family val="2"/>
      </rPr>
      <t xml:space="preserve"> DC Bias Derating</t>
    </r>
    <phoneticPr fontId="25" type="noConversion"/>
  </si>
  <si>
    <r>
      <t>D</t>
    </r>
    <r>
      <rPr>
        <vertAlign val="subscript"/>
        <sz val="11"/>
        <color theme="1"/>
        <rFont val="Arial"/>
        <family val="2"/>
      </rPr>
      <t xml:space="preserve">rea_CDD1 </t>
    </r>
    <r>
      <rPr>
        <sz val="11"/>
        <color theme="1"/>
        <rFont val="Arial"/>
        <family val="2"/>
      </rPr>
      <t>=</t>
    </r>
    <phoneticPr fontId="25" type="noConversion"/>
  </si>
  <si>
    <t>%</t>
    <phoneticPr fontId="25" type="noConversion"/>
  </si>
  <si>
    <t>BUR Pin Voltage</t>
    <phoneticPr fontId="25" type="noConversion"/>
  </si>
  <si>
    <r>
      <t>V</t>
    </r>
    <r>
      <rPr>
        <vertAlign val="subscript"/>
        <sz val="11"/>
        <color theme="1"/>
        <rFont val="Arial"/>
        <family val="2"/>
      </rPr>
      <t xml:space="preserve">BUR </t>
    </r>
    <r>
      <rPr>
        <sz val="11"/>
        <color theme="1"/>
        <rFont val="Arial"/>
        <family val="2"/>
      </rPr>
      <t>=</t>
    </r>
    <phoneticPr fontId="25" type="noConversion"/>
  </si>
  <si>
    <t>V</t>
    <phoneticPr fontId="25" type="noConversion"/>
  </si>
  <si>
    <t>C3216JB1E336M160AC</t>
    <phoneticPr fontId="25" type="noConversion"/>
  </si>
  <si>
    <t>from the datasheet</t>
    <phoneticPr fontId="25" type="noConversion"/>
  </si>
  <si>
    <t>Minimum Recommended Secondary Turns</t>
    <phoneticPr fontId="25" type="noConversion"/>
  </si>
  <si>
    <t>Ns</t>
    <phoneticPr fontId="25" type="noConversion"/>
  </si>
  <si>
    <t>Vbur2</t>
    <phoneticPr fontId="25" type="noConversion"/>
  </si>
  <si>
    <t>V</t>
    <phoneticPr fontId="25" type="noConversion"/>
  </si>
  <si>
    <t>RBUR2</t>
    <phoneticPr fontId="25" type="noConversion"/>
  </si>
  <si>
    <t>RBUR3</t>
    <phoneticPr fontId="25" type="noConversion"/>
  </si>
  <si>
    <t>RBUR1</t>
    <phoneticPr fontId="25" type="noConversion"/>
  </si>
  <si>
    <t>CDD2 Should use smaller value, if use extra circuit to reduce standby power loss (UCC28780EVM-002 use 0.044uF)</t>
    <phoneticPr fontId="25" type="noConversion"/>
  </si>
  <si>
    <t>1. More stable transient and ABM for lower Vo</t>
    <phoneticPr fontId="25" type="noConversion"/>
  </si>
  <si>
    <t>2. Lower average efficiency on lower Vo</t>
    <phoneticPr fontId="25" type="noConversion"/>
  </si>
  <si>
    <r>
      <t>Lower V</t>
    </r>
    <r>
      <rPr>
        <vertAlign val="subscript"/>
        <sz val="11"/>
        <color rgb="FFFF0000"/>
        <rFont val="Arial"/>
        <family val="2"/>
      </rPr>
      <t xml:space="preserve">BUR2 </t>
    </r>
    <r>
      <rPr>
        <sz val="11"/>
        <color rgb="FFFF0000"/>
        <rFont val="Arial"/>
        <family val="2"/>
      </rPr>
      <t>:</t>
    </r>
    <phoneticPr fontId="25" type="noConversion"/>
  </si>
  <si>
    <t>IPD60R180C7</t>
  </si>
  <si>
    <t>DC</t>
  </si>
  <si>
    <t>VBULK</t>
  </si>
  <si>
    <t>ns</t>
    <phoneticPr fontId="26" type="noConversion"/>
  </si>
  <si>
    <t>ds specs</t>
  </si>
  <si>
    <t>mV</t>
    <phoneticPr fontId="26" type="noConversion"/>
  </si>
  <si>
    <t>V</t>
    <phoneticPr fontId="26" type="noConversion"/>
  </si>
  <si>
    <t>A/A</t>
  </si>
  <si>
    <t>V/V</t>
  </si>
  <si>
    <t>V</t>
    <phoneticPr fontId="26" type="noConversion"/>
  </si>
  <si>
    <t>mA</t>
    <phoneticPr fontId="26" type="noConversion"/>
  </si>
  <si>
    <t>µs</t>
  </si>
  <si>
    <t>mA</t>
    <phoneticPr fontId="26" type="noConversion"/>
  </si>
  <si>
    <t>µA</t>
    <phoneticPr fontId="26" type="noConversion"/>
  </si>
  <si>
    <t>mV</t>
    <phoneticPr fontId="26" type="noConversion"/>
  </si>
  <si>
    <t>kHz</t>
    <phoneticPr fontId="26" type="noConversion"/>
  </si>
  <si>
    <t>kHz</t>
    <phoneticPr fontId="26" type="noConversion"/>
  </si>
  <si>
    <t>s</t>
    <phoneticPr fontId="26" type="noConversion"/>
  </si>
  <si>
    <r>
      <t>Time related output capacitance, C</t>
    </r>
    <r>
      <rPr>
        <vertAlign val="subscript"/>
        <sz val="11"/>
        <color theme="1"/>
        <rFont val="Arial"/>
        <family val="2"/>
      </rPr>
      <t>oss_QH_T</t>
    </r>
    <r>
      <rPr>
        <sz val="11"/>
        <color theme="1"/>
        <rFont val="Arial"/>
        <family val="2"/>
      </rPr>
      <t>=</t>
    </r>
  </si>
  <si>
    <t>1% tolerance</t>
  </si>
  <si>
    <t>UCC28780 ACTIVE-CLAMP FLYBACK DESIGN CALCULATOR</t>
  </si>
  <si>
    <r>
      <t xml:space="preserve">ALL </t>
    </r>
    <r>
      <rPr>
        <b/>
        <sz val="14"/>
        <color rgb="FF92D050"/>
        <rFont val="Arial"/>
        <family val="2"/>
      </rPr>
      <t>GREEN</t>
    </r>
    <r>
      <rPr>
        <b/>
        <sz val="14"/>
        <color theme="1"/>
        <rFont val="Arial"/>
        <family val="2"/>
      </rPr>
      <t xml:space="preserve"> CELLS ARE USER INPUTS</t>
    </r>
  </si>
  <si>
    <t>ATL431</t>
  </si>
  <si>
    <t>at  80°C ambient</t>
  </si>
  <si>
    <t>FODM8801A</t>
  </si>
  <si>
    <t>SLUC664B</t>
  </si>
  <si>
    <r>
      <t>WHERE APPLICABLE, A RECOMMENDED VALUE IS GIVEN THAT WILL BE THE BEST CHOICE TO MEET THE GIVEN SPECIFICATION.  IT IS IN THE BEST INTEREST OF THE USER TO USE A VALUE AS CLOSE AS POSSIBLE TO THE RECOMMENDED</t>
    </r>
    <r>
      <rPr>
        <sz val="11"/>
        <color rgb="FFFF00FF"/>
        <rFont val="Arial"/>
        <family val="2"/>
      </rPr>
      <t xml:space="preserve"> </t>
    </r>
    <r>
      <rPr>
        <sz val="11"/>
        <rFont val="Arial"/>
        <family val="2"/>
      </rPr>
      <t xml:space="preserve"> VALUE.  FOR ACCURATE RESULTS, THE USER MUST ENTER THE ACTUAL VALUE USED IN THE APPROPRIATE CELL.</t>
    </r>
  </si>
  <si>
    <t>Target frequency at maximum load, minimum line</t>
  </si>
  <si>
    <r>
      <rPr>
        <b/>
        <sz val="11"/>
        <rFont val="Arial"/>
        <family val="2"/>
      </rPr>
      <t>Recommended</t>
    </r>
    <r>
      <rPr>
        <sz val="11"/>
        <rFont val="Arial"/>
        <family val="2"/>
      </rPr>
      <t xml:space="preserve"> Input Capacitance, C</t>
    </r>
    <r>
      <rPr>
        <vertAlign val="subscript"/>
        <sz val="11"/>
        <color theme="1"/>
        <rFont val="Arial"/>
        <family val="2"/>
      </rPr>
      <t>BULK_rec</t>
    </r>
    <r>
      <rPr>
        <sz val="11"/>
        <color theme="1"/>
        <rFont val="Arial"/>
        <family val="2"/>
      </rPr>
      <t xml:space="preserve"> =</t>
    </r>
  </si>
  <si>
    <t xml:space="preserve">nA             </t>
  </si>
  <si>
    <t>Input Voltage Type, AC or DC</t>
  </si>
  <si>
    <t>Choose either AC or DC</t>
  </si>
  <si>
    <t>INPUT  SPECIFICATIONS</t>
  </si>
  <si>
    <t>Part Number</t>
  </si>
  <si>
    <t>BSC160N15NS5</t>
  </si>
  <si>
    <t>CDSOD323-T18</t>
  </si>
  <si>
    <t>BSS126</t>
  </si>
  <si>
    <t>CSFMT108-HF</t>
  </si>
  <si>
    <t>Voltage at which diode current is negligible</t>
  </si>
  <si>
    <t>Instantanous voltage</t>
  </si>
  <si>
    <t>µA</t>
  </si>
  <si>
    <t>V ds specs</t>
  </si>
  <si>
    <t>V   ds recommendation</t>
  </si>
  <si>
    <t>µA ds specs</t>
  </si>
  <si>
    <t>Frequency Compensation Network</t>
  </si>
  <si>
    <t>Ripple Regulation in ABM</t>
  </si>
  <si>
    <t>Loop Stability in AAM</t>
  </si>
  <si>
    <t>Auxillary to Secondary Turns Ratio:</t>
  </si>
  <si>
    <t>kΩ</t>
  </si>
  <si>
    <t>Vo_high</t>
  </si>
  <si>
    <t>Vo_low</t>
  </si>
  <si>
    <t>0.7V&lt;Vbur1&lt;2.4V</t>
  </si>
  <si>
    <t>0.7V&lt;Vbur2&lt;2.4V</t>
  </si>
  <si>
    <t>Vbur1</t>
  </si>
  <si>
    <t>Vbur1-Vbur2&gt;100 mV</t>
  </si>
  <si>
    <t>Naux1</t>
  </si>
  <si>
    <t>Naux2</t>
  </si>
  <si>
    <t>Naux1=NA</t>
  </si>
  <si>
    <t>Capacitance derating base on output voltage</t>
  </si>
  <si>
    <t>Co1 Used in Calculation</t>
  </si>
  <si>
    <t>DC Bias Derating at Design Vo</t>
  </si>
  <si>
    <t>Ω</t>
  </si>
  <si>
    <t>Additional Voltage Spike Higher than  VBULK(MAX)/NPS</t>
  </si>
  <si>
    <t>Voltage Above Reflected Output Voltage</t>
  </si>
  <si>
    <t>Estimate inductive spike voltage on output rectifier</t>
  </si>
  <si>
    <t>Estimate Duty Cycle Loss</t>
  </si>
  <si>
    <r>
      <t>N</t>
    </r>
    <r>
      <rPr>
        <vertAlign val="subscript"/>
        <sz val="12"/>
        <rFont val="Arial"/>
        <family val="2"/>
      </rPr>
      <t>PS_min</t>
    </r>
    <r>
      <rPr>
        <sz val="12"/>
        <rFont val="Arial"/>
        <family val="2"/>
      </rPr>
      <t xml:space="preserve"> =</t>
    </r>
  </si>
  <si>
    <r>
      <t>N</t>
    </r>
    <r>
      <rPr>
        <vertAlign val="subscript"/>
        <sz val="12"/>
        <rFont val="Arial"/>
        <family val="2"/>
      </rPr>
      <t>PS_max</t>
    </r>
    <r>
      <rPr>
        <sz val="12"/>
        <rFont val="Arial"/>
        <family val="2"/>
      </rPr>
      <t xml:space="preserve"> =</t>
    </r>
  </si>
  <si>
    <t>Select the primary turns target</t>
  </si>
  <si>
    <r>
      <t>VDD Supply for</t>
    </r>
    <r>
      <rPr>
        <b/>
        <i/>
        <sz val="12"/>
        <color theme="0"/>
        <rFont val="Arial"/>
        <family val="2"/>
      </rPr>
      <t xml:space="preserve"> Driver</t>
    </r>
  </si>
  <si>
    <r>
      <t>R</t>
    </r>
    <r>
      <rPr>
        <vertAlign val="subscript"/>
        <sz val="11"/>
        <color theme="1"/>
        <rFont val="Arial"/>
        <family val="2"/>
      </rPr>
      <t>BLEED_rec</t>
    </r>
    <r>
      <rPr>
        <sz val="11"/>
        <color theme="1"/>
        <rFont val="Arial"/>
        <family val="2"/>
      </rPr>
      <t xml:space="preserve"> =</t>
    </r>
  </si>
  <si>
    <t>%</t>
  </si>
  <si>
    <t>Target effeciency at maximum load, minimum line</t>
  </si>
  <si>
    <t>Turns</t>
  </si>
  <si>
    <t xml:space="preserve">Turns </t>
  </si>
  <si>
    <t>Multi-Level Burst Mode Threshold Calculations for USB-PD Applications</t>
  </si>
  <si>
    <t>(with Aux-winding structure shown below)</t>
  </si>
  <si>
    <t>Affects standby power</t>
  </si>
  <si>
    <t>Brown-out (Instantanous voltage)</t>
  </si>
  <si>
    <t>Brown-in (Instantanous voltage)</t>
  </si>
  <si>
    <t>Burst is normally set at high line (Instantanous voltage)</t>
  </si>
  <si>
    <r>
      <t>Brown-out Input Voltage, V</t>
    </r>
    <r>
      <rPr>
        <vertAlign val="subscript"/>
        <sz val="11"/>
        <rFont val="Arial"/>
        <family val="2"/>
      </rPr>
      <t>In_Brownout</t>
    </r>
    <r>
      <rPr>
        <sz val="11"/>
        <rFont val="Arial"/>
        <family val="2"/>
      </rPr>
      <t xml:space="preserve"> =</t>
    </r>
  </si>
  <si>
    <r>
      <t>Brown-in Input Voltage, V</t>
    </r>
    <r>
      <rPr>
        <vertAlign val="subscript"/>
        <sz val="11"/>
        <rFont val="Arial"/>
        <family val="2"/>
      </rPr>
      <t>In_Brownin</t>
    </r>
    <r>
      <rPr>
        <sz val="11"/>
        <rFont val="Arial"/>
        <family val="2"/>
      </rPr>
      <t xml:space="preserve"> =</t>
    </r>
  </si>
  <si>
    <r>
      <t>Maximum Line Input Voltage, V</t>
    </r>
    <r>
      <rPr>
        <vertAlign val="subscript"/>
        <sz val="11"/>
        <rFont val="Arial"/>
        <family val="2"/>
      </rPr>
      <t>In_max</t>
    </r>
    <r>
      <rPr>
        <sz val="11"/>
        <rFont val="Arial"/>
        <family val="2"/>
      </rPr>
      <t xml:space="preserve"> =</t>
    </r>
  </si>
  <si>
    <r>
      <t>Input Voltage BUR, V</t>
    </r>
    <r>
      <rPr>
        <vertAlign val="subscript"/>
        <sz val="11"/>
        <rFont val="Arial"/>
        <family val="2"/>
      </rPr>
      <t>In_BUR</t>
    </r>
    <r>
      <rPr>
        <sz val="11"/>
        <rFont val="Arial"/>
        <family val="2"/>
      </rPr>
      <t xml:space="preserve"> =</t>
    </r>
  </si>
  <si>
    <r>
      <t>Minimum Bulk Voltage, V</t>
    </r>
    <r>
      <rPr>
        <vertAlign val="subscript"/>
        <sz val="11"/>
        <rFont val="Arial"/>
        <family val="2"/>
      </rPr>
      <t>Bulk_min</t>
    </r>
    <r>
      <rPr>
        <sz val="11"/>
        <rFont val="Arial"/>
        <family val="2"/>
      </rPr>
      <t xml:space="preserve"> =</t>
    </r>
  </si>
  <si>
    <r>
      <t>Minimum Line Input Voltage, V</t>
    </r>
    <r>
      <rPr>
        <vertAlign val="subscript"/>
        <sz val="11"/>
        <rFont val="Arial"/>
        <family val="2"/>
      </rPr>
      <t>In_min</t>
    </r>
    <r>
      <rPr>
        <sz val="11"/>
        <rFont val="Arial"/>
        <family val="2"/>
      </rPr>
      <t xml:space="preserve"> =</t>
    </r>
  </si>
  <si>
    <r>
      <t>Minimum Line Frequency, f</t>
    </r>
    <r>
      <rPr>
        <vertAlign val="subscript"/>
        <sz val="11"/>
        <rFont val="Arial"/>
        <family val="2"/>
      </rPr>
      <t>LINE_min</t>
    </r>
    <r>
      <rPr>
        <sz val="11"/>
        <rFont val="Arial"/>
        <family val="2"/>
      </rPr>
      <t xml:space="preserve"> =</t>
    </r>
  </si>
  <si>
    <r>
      <t>Minimum Switching Frequency, f</t>
    </r>
    <r>
      <rPr>
        <vertAlign val="subscript"/>
        <sz val="11"/>
        <rFont val="Arial"/>
        <family val="2"/>
      </rPr>
      <t>SW_min</t>
    </r>
    <r>
      <rPr>
        <sz val="11"/>
        <rFont val="Arial"/>
        <family val="2"/>
      </rPr>
      <t>=</t>
    </r>
  </si>
  <si>
    <r>
      <t xml:space="preserve">Miniumum Effeciency, </t>
    </r>
    <r>
      <rPr>
        <sz val="12"/>
        <rFont val="Arial"/>
        <family val="2"/>
      </rPr>
      <t>η</t>
    </r>
    <r>
      <rPr>
        <sz val="7"/>
        <rFont val="Arial"/>
        <family val="2"/>
      </rPr>
      <t>_min</t>
    </r>
    <r>
      <rPr>
        <sz val="11"/>
        <rFont val="Arial"/>
        <family val="2"/>
      </rPr>
      <t>=</t>
    </r>
  </si>
  <si>
    <r>
      <t>Nominal Output Voltage, V</t>
    </r>
    <r>
      <rPr>
        <vertAlign val="subscript"/>
        <sz val="11"/>
        <rFont val="Arial"/>
        <family val="2"/>
      </rPr>
      <t>OUT</t>
    </r>
    <r>
      <rPr>
        <sz val="11"/>
        <rFont val="Arial"/>
        <family val="2"/>
      </rPr>
      <t xml:space="preserve"> =</t>
    </r>
  </si>
  <si>
    <r>
      <t>Full Load Output Power, P</t>
    </r>
    <r>
      <rPr>
        <vertAlign val="subscript"/>
        <sz val="11"/>
        <rFont val="Arial"/>
        <family val="2"/>
      </rPr>
      <t>O_FL</t>
    </r>
    <r>
      <rPr>
        <sz val="11"/>
        <rFont val="Arial"/>
        <family val="2"/>
      </rPr>
      <t xml:space="preserve"> =</t>
    </r>
  </si>
  <si>
    <r>
      <t>Full Load Rated Output Current, I</t>
    </r>
    <r>
      <rPr>
        <vertAlign val="subscript"/>
        <sz val="11"/>
        <rFont val="Arial"/>
        <family val="2"/>
      </rPr>
      <t>OUT</t>
    </r>
    <r>
      <rPr>
        <sz val="11"/>
        <rFont val="Arial"/>
        <family val="2"/>
      </rPr>
      <t xml:space="preserve"> =</t>
    </r>
  </si>
  <si>
    <r>
      <t>Minimum Crossover Frequency, F</t>
    </r>
    <r>
      <rPr>
        <vertAlign val="subscript"/>
        <sz val="11"/>
        <rFont val="Arial"/>
        <family val="2"/>
      </rPr>
      <t>cr_min</t>
    </r>
    <r>
      <rPr>
        <sz val="11"/>
        <rFont val="Arial"/>
        <family val="2"/>
      </rPr>
      <t xml:space="preserve"> =</t>
    </r>
  </si>
  <si>
    <r>
      <t>Estimated High Line Burst Frequency, f</t>
    </r>
    <r>
      <rPr>
        <vertAlign val="subscript"/>
        <sz val="11"/>
        <rFont val="Arial"/>
        <family val="2"/>
      </rPr>
      <t>BUR_standby</t>
    </r>
    <r>
      <rPr>
        <sz val="11"/>
        <rFont val="Arial"/>
        <family val="2"/>
      </rPr>
      <t xml:space="preserve"> =</t>
    </r>
  </si>
  <si>
    <r>
      <t>Derating Coefficient for QL and QH, K</t>
    </r>
    <r>
      <rPr>
        <vertAlign val="subscript"/>
        <sz val="11"/>
        <rFont val="Arial"/>
        <family val="2"/>
      </rPr>
      <t>der</t>
    </r>
    <r>
      <rPr>
        <sz val="11"/>
        <rFont val="Arial"/>
        <family val="2"/>
      </rPr>
      <t xml:space="preserve"> =</t>
    </r>
  </si>
  <si>
    <r>
      <t>Required Drain to Source Voltage Rating , V</t>
    </r>
    <r>
      <rPr>
        <vertAlign val="subscript"/>
        <sz val="11"/>
        <rFont val="Arial"/>
        <family val="2"/>
      </rPr>
      <t>DS_rec</t>
    </r>
    <r>
      <rPr>
        <sz val="11"/>
        <rFont val="Arial"/>
        <family val="2"/>
      </rPr>
      <t xml:space="preserve"> =</t>
    </r>
  </si>
  <si>
    <r>
      <t>MOSFET Rated Drain to Source Voltage, V</t>
    </r>
    <r>
      <rPr>
        <vertAlign val="subscript"/>
        <sz val="11"/>
        <rFont val="Arial"/>
        <family val="2"/>
      </rPr>
      <t>DS_act</t>
    </r>
    <r>
      <rPr>
        <sz val="11"/>
        <rFont val="Arial"/>
        <family val="2"/>
      </rPr>
      <t xml:space="preserve"> =</t>
    </r>
  </si>
  <si>
    <r>
      <rPr>
        <b/>
        <sz val="11"/>
        <rFont val="Arial"/>
        <family val="2"/>
      </rPr>
      <t xml:space="preserve">Actual </t>
    </r>
    <r>
      <rPr>
        <sz val="11"/>
        <rFont val="Arial"/>
        <family val="2"/>
      </rPr>
      <t>Input Capacitance, C</t>
    </r>
    <r>
      <rPr>
        <vertAlign val="subscript"/>
        <sz val="11"/>
        <rFont val="Arial"/>
        <family val="2"/>
      </rPr>
      <t>BULK_act</t>
    </r>
    <r>
      <rPr>
        <sz val="11"/>
        <rFont val="Arial"/>
        <family val="2"/>
      </rPr>
      <t xml:space="preserve"> =</t>
    </r>
  </si>
  <si>
    <r>
      <t>Input Capacitance Used in Calculations, C</t>
    </r>
    <r>
      <rPr>
        <vertAlign val="subscript"/>
        <sz val="11"/>
        <rFont val="Arial"/>
        <family val="2"/>
      </rPr>
      <t>BULK</t>
    </r>
    <r>
      <rPr>
        <sz val="11"/>
        <rFont val="Arial"/>
        <family val="2"/>
      </rPr>
      <t xml:space="preserve"> =</t>
    </r>
  </si>
  <si>
    <r>
      <t>Minimum Voltage Rating, V</t>
    </r>
    <r>
      <rPr>
        <vertAlign val="subscript"/>
        <sz val="11"/>
        <rFont val="Arial"/>
        <family val="2"/>
      </rPr>
      <t xml:space="preserve">cin_rated </t>
    </r>
    <r>
      <rPr>
        <sz val="11"/>
        <rFont val="Arial"/>
        <family val="2"/>
      </rPr>
      <t>=</t>
    </r>
  </si>
  <si>
    <r>
      <t>C</t>
    </r>
    <r>
      <rPr>
        <vertAlign val="subscript"/>
        <sz val="11"/>
        <rFont val="Arial"/>
        <family val="2"/>
      </rPr>
      <t>OUT2</t>
    </r>
    <r>
      <rPr>
        <sz val="11"/>
        <rFont val="Arial"/>
        <family val="2"/>
      </rPr>
      <t xml:space="preserve"> Parasistic Resistor, R</t>
    </r>
    <r>
      <rPr>
        <vertAlign val="subscript"/>
        <sz val="11"/>
        <rFont val="Arial"/>
        <family val="2"/>
      </rPr>
      <t>CO2</t>
    </r>
    <r>
      <rPr>
        <sz val="11"/>
        <rFont val="Arial"/>
        <family val="2"/>
      </rPr>
      <t xml:space="preserve"> =</t>
    </r>
  </si>
  <si>
    <r>
      <t>Voltage Drop During Transient, V</t>
    </r>
    <r>
      <rPr>
        <vertAlign val="subscript"/>
        <sz val="11"/>
        <rFont val="Arial"/>
        <family val="2"/>
      </rPr>
      <t>o_drop</t>
    </r>
    <r>
      <rPr>
        <sz val="11"/>
        <rFont val="Arial"/>
        <family val="2"/>
      </rPr>
      <t xml:space="preserve"> =</t>
    </r>
  </si>
  <si>
    <r>
      <t>Output Capacitance Used in Calculations, C</t>
    </r>
    <r>
      <rPr>
        <vertAlign val="subscript"/>
        <sz val="11"/>
        <rFont val="Arial"/>
        <family val="2"/>
      </rPr>
      <t>OUT</t>
    </r>
    <r>
      <rPr>
        <sz val="11"/>
        <rFont val="Arial"/>
        <family val="2"/>
      </rPr>
      <t xml:space="preserve"> =</t>
    </r>
  </si>
  <si>
    <r>
      <t>m</t>
    </r>
    <r>
      <rPr>
        <sz val="11"/>
        <rFont val="Calibri"/>
        <family val="2"/>
      </rPr>
      <t>Ω</t>
    </r>
  </si>
  <si>
    <r>
      <t>Voltage Derating Coefficient for SR, K</t>
    </r>
    <r>
      <rPr>
        <vertAlign val="subscript"/>
        <sz val="11"/>
        <rFont val="Arial"/>
        <family val="2"/>
      </rPr>
      <t>der_SR</t>
    </r>
    <r>
      <rPr>
        <sz val="11"/>
        <rFont val="Arial"/>
        <family val="2"/>
      </rPr>
      <t xml:space="preserve"> =</t>
    </r>
  </si>
  <si>
    <r>
      <t>Required Drain to Soure Voltage Rating , V</t>
    </r>
    <r>
      <rPr>
        <vertAlign val="subscript"/>
        <sz val="11"/>
        <rFont val="Arial"/>
        <family val="2"/>
      </rPr>
      <t>SR_rec</t>
    </r>
    <r>
      <rPr>
        <sz val="11"/>
        <rFont val="Arial"/>
        <family val="2"/>
      </rPr>
      <t xml:space="preserve"> =</t>
    </r>
  </si>
  <si>
    <r>
      <t>MOSFET Rated Drain to Source Voltage, V</t>
    </r>
    <r>
      <rPr>
        <vertAlign val="subscript"/>
        <sz val="11"/>
        <rFont val="Arial"/>
        <family val="2"/>
      </rPr>
      <t>SR_act</t>
    </r>
    <r>
      <rPr>
        <sz val="11"/>
        <rFont val="Arial"/>
        <family val="2"/>
      </rPr>
      <t xml:space="preserve"> =</t>
    </r>
  </si>
  <si>
    <r>
      <t>Output Capacitance of Selected MOSFET Big-C Below V</t>
    </r>
    <r>
      <rPr>
        <vertAlign val="subscript"/>
        <sz val="11"/>
        <rFont val="Arial"/>
        <family val="2"/>
      </rPr>
      <t>x_SR</t>
    </r>
    <r>
      <rPr>
        <sz val="11"/>
        <rFont val="Arial"/>
        <family val="2"/>
      </rPr>
      <t>, C</t>
    </r>
    <r>
      <rPr>
        <vertAlign val="subscript"/>
        <sz val="11"/>
        <rFont val="Arial"/>
        <family val="2"/>
      </rPr>
      <t xml:space="preserve">oss_SR_bg </t>
    </r>
    <r>
      <rPr>
        <sz val="11"/>
        <rFont val="Arial"/>
        <family val="2"/>
      </rPr>
      <t>=</t>
    </r>
  </si>
  <si>
    <r>
      <t>Output Capacitance of Selected MOSFET Small-C Above V</t>
    </r>
    <r>
      <rPr>
        <vertAlign val="subscript"/>
        <sz val="11"/>
        <rFont val="Arial"/>
        <family val="2"/>
      </rPr>
      <t>x_SR</t>
    </r>
    <r>
      <rPr>
        <sz val="11"/>
        <rFont val="Arial"/>
        <family val="2"/>
      </rPr>
      <t>, C</t>
    </r>
    <r>
      <rPr>
        <vertAlign val="subscript"/>
        <sz val="11"/>
        <rFont val="Arial"/>
        <family val="2"/>
      </rPr>
      <t xml:space="preserve">oss_SR_sm </t>
    </r>
    <r>
      <rPr>
        <sz val="11"/>
        <rFont val="Arial"/>
        <family val="2"/>
      </rPr>
      <t>=</t>
    </r>
  </si>
  <si>
    <r>
      <t>Time related output capacitance, C</t>
    </r>
    <r>
      <rPr>
        <vertAlign val="subscript"/>
        <sz val="11"/>
        <rFont val="Arial"/>
        <family val="2"/>
      </rPr>
      <t>OSS_SR_T</t>
    </r>
  </si>
  <si>
    <r>
      <t>Output Capacitance During High Voltage, C</t>
    </r>
    <r>
      <rPr>
        <vertAlign val="subscript"/>
        <sz val="11"/>
        <rFont val="Arial"/>
        <family val="2"/>
      </rPr>
      <t>OSS_SR_H</t>
    </r>
    <r>
      <rPr>
        <sz val="11"/>
        <rFont val="Arial"/>
        <family val="2"/>
      </rPr>
      <t>=</t>
    </r>
  </si>
  <si>
    <r>
      <t>Forward Voltage of Output Rectifier, V</t>
    </r>
    <r>
      <rPr>
        <vertAlign val="subscript"/>
        <sz val="11"/>
        <rFont val="Arial"/>
        <family val="2"/>
      </rPr>
      <t>f_SR</t>
    </r>
    <r>
      <rPr>
        <sz val="11"/>
        <rFont val="Arial"/>
        <family val="2"/>
      </rPr>
      <t>=</t>
    </r>
  </si>
  <si>
    <r>
      <t>Maximum Rectifier Current, I</t>
    </r>
    <r>
      <rPr>
        <vertAlign val="subscript"/>
        <sz val="11"/>
        <rFont val="Arial"/>
        <family val="2"/>
      </rPr>
      <t>D_SR_max</t>
    </r>
    <r>
      <rPr>
        <sz val="11"/>
        <rFont val="Arial"/>
        <family val="2"/>
      </rPr>
      <t>=</t>
    </r>
  </si>
  <si>
    <t>Pulsed current</t>
  </si>
  <si>
    <r>
      <t>Collector Emitter Saturation Voltage, V</t>
    </r>
    <r>
      <rPr>
        <vertAlign val="subscript"/>
        <sz val="11"/>
        <rFont val="Arial"/>
        <family val="2"/>
      </rPr>
      <t>CE_sat_opto</t>
    </r>
    <r>
      <rPr>
        <sz val="11"/>
        <rFont val="Arial"/>
        <family val="2"/>
      </rPr>
      <t>=</t>
    </r>
  </si>
  <si>
    <r>
      <t>Normal Forward Voltage, V</t>
    </r>
    <r>
      <rPr>
        <vertAlign val="subscript"/>
        <sz val="11"/>
        <rFont val="Arial"/>
        <family val="2"/>
      </rPr>
      <t>D_LED</t>
    </r>
    <r>
      <rPr>
        <sz val="11"/>
        <rFont val="Arial"/>
        <family val="2"/>
      </rPr>
      <t>=</t>
    </r>
  </si>
  <si>
    <r>
      <t>Diode Voltage @ Diode current&lt;1µA, V</t>
    </r>
    <r>
      <rPr>
        <vertAlign val="subscript"/>
        <sz val="11"/>
        <rFont val="Arial"/>
        <family val="2"/>
      </rPr>
      <t>D_LED</t>
    </r>
    <r>
      <rPr>
        <sz val="11"/>
        <rFont val="Arial"/>
        <family val="2"/>
      </rPr>
      <t>=</t>
    </r>
  </si>
  <si>
    <r>
      <t>Cut Off Frequency, f</t>
    </r>
    <r>
      <rPr>
        <vertAlign val="subscript"/>
        <sz val="11"/>
        <rFont val="Arial"/>
        <family val="2"/>
      </rPr>
      <t>p_opto</t>
    </r>
    <r>
      <rPr>
        <sz val="11"/>
        <rFont val="Arial"/>
        <family val="2"/>
      </rPr>
      <t>=</t>
    </r>
  </si>
  <si>
    <r>
      <t>Maximum Current Transfer Ratio, C</t>
    </r>
    <r>
      <rPr>
        <vertAlign val="subscript"/>
        <sz val="11"/>
        <rFont val="Arial"/>
        <family val="2"/>
      </rPr>
      <t>TRmax</t>
    </r>
    <r>
      <rPr>
        <sz val="11"/>
        <rFont val="Arial"/>
        <family val="2"/>
      </rPr>
      <t>=</t>
    </r>
  </si>
  <si>
    <r>
      <t>Minimum Current Transfer Ratio, C</t>
    </r>
    <r>
      <rPr>
        <vertAlign val="subscript"/>
        <sz val="11"/>
        <rFont val="Arial"/>
        <family val="2"/>
      </rPr>
      <t>TRmin</t>
    </r>
    <r>
      <rPr>
        <sz val="11"/>
        <rFont val="Arial"/>
        <family val="2"/>
      </rPr>
      <t>=</t>
    </r>
  </si>
  <si>
    <r>
      <t>CTR During High Temperature, K</t>
    </r>
    <r>
      <rPr>
        <vertAlign val="subscript"/>
        <sz val="11"/>
        <rFont val="Arial"/>
        <family val="2"/>
      </rPr>
      <t>CTR_Temp</t>
    </r>
    <r>
      <rPr>
        <sz val="11"/>
        <rFont val="Arial"/>
        <family val="2"/>
      </rPr>
      <t>=</t>
    </r>
  </si>
  <si>
    <r>
      <t>Recommended Minimum Breakdown Voltage, V</t>
    </r>
    <r>
      <rPr>
        <vertAlign val="subscript"/>
        <sz val="11"/>
        <rFont val="Arial"/>
        <family val="2"/>
      </rPr>
      <t>Dz_rec</t>
    </r>
    <r>
      <rPr>
        <sz val="11"/>
        <rFont val="Arial"/>
        <family val="2"/>
      </rPr>
      <t xml:space="preserve"> =</t>
    </r>
  </si>
  <si>
    <r>
      <t>Typical Capacitance, C</t>
    </r>
    <r>
      <rPr>
        <vertAlign val="subscript"/>
        <sz val="11"/>
        <rFont val="Arial"/>
        <family val="2"/>
      </rPr>
      <t xml:space="preserve">Dz </t>
    </r>
    <r>
      <rPr>
        <sz val="11"/>
        <rFont val="Arial"/>
        <family val="2"/>
      </rPr>
      <t>=</t>
    </r>
  </si>
  <si>
    <t>Typical VDD Turn off Threshold</t>
  </si>
  <si>
    <t xml:space="preserve">kΩ                </t>
  </si>
  <si>
    <r>
      <t>N</t>
    </r>
    <r>
      <rPr>
        <vertAlign val="subscript"/>
        <sz val="11"/>
        <rFont val="Arial"/>
        <family val="2"/>
      </rPr>
      <t xml:space="preserve">PS </t>
    </r>
    <r>
      <rPr>
        <sz val="11"/>
        <rFont val="Arial"/>
        <family val="2"/>
      </rPr>
      <t>=</t>
    </r>
  </si>
  <si>
    <r>
      <t>N</t>
    </r>
    <r>
      <rPr>
        <sz val="7"/>
        <rFont val="Arial"/>
        <family val="2"/>
      </rPr>
      <t>PS_min</t>
    </r>
    <r>
      <rPr>
        <sz val="11"/>
        <rFont val="Arial"/>
        <family val="2"/>
      </rPr>
      <t>&lt;N</t>
    </r>
    <r>
      <rPr>
        <sz val="7"/>
        <rFont val="Arial"/>
        <family val="2"/>
      </rPr>
      <t>PS</t>
    </r>
    <r>
      <rPr>
        <sz val="11"/>
        <rFont val="Arial"/>
        <family val="2"/>
      </rPr>
      <t>&lt;N</t>
    </r>
    <r>
      <rPr>
        <sz val="7"/>
        <rFont val="Arial"/>
        <family val="2"/>
      </rPr>
      <t>PS_max</t>
    </r>
    <r>
      <rPr>
        <sz val="11"/>
        <rFont val="Arial"/>
        <family val="2"/>
      </rPr>
      <t xml:space="preserve"> </t>
    </r>
  </si>
  <si>
    <r>
      <t>N</t>
    </r>
    <r>
      <rPr>
        <vertAlign val="subscript"/>
        <sz val="11"/>
        <rFont val="Arial"/>
        <family val="2"/>
      </rPr>
      <t>P</t>
    </r>
    <r>
      <rPr>
        <sz val="11"/>
        <rFont val="Arial"/>
        <family val="2"/>
      </rPr>
      <t xml:space="preserve"> =</t>
    </r>
  </si>
  <si>
    <r>
      <t>N</t>
    </r>
    <r>
      <rPr>
        <vertAlign val="subscript"/>
        <sz val="11"/>
        <rFont val="Arial"/>
        <family val="2"/>
      </rPr>
      <t>S_rec</t>
    </r>
    <r>
      <rPr>
        <sz val="11"/>
        <rFont val="Arial"/>
        <family val="2"/>
      </rPr>
      <t xml:space="preserve"> =</t>
    </r>
  </si>
  <si>
    <r>
      <t>N</t>
    </r>
    <r>
      <rPr>
        <vertAlign val="subscript"/>
        <sz val="11"/>
        <rFont val="Arial"/>
        <family val="2"/>
      </rPr>
      <t>S</t>
    </r>
    <r>
      <rPr>
        <sz val="11"/>
        <rFont val="Arial"/>
        <family val="2"/>
      </rPr>
      <t xml:space="preserve"> =</t>
    </r>
  </si>
  <si>
    <r>
      <rPr>
        <b/>
        <sz val="11"/>
        <rFont val="Arial"/>
        <family val="2"/>
      </rPr>
      <t>Minimum</t>
    </r>
    <r>
      <rPr>
        <sz val="11"/>
        <rFont val="Arial"/>
        <family val="2"/>
      </rPr>
      <t xml:space="preserve"> Auxiliary Winding Turns</t>
    </r>
  </si>
  <si>
    <r>
      <t>N</t>
    </r>
    <r>
      <rPr>
        <vertAlign val="subscript"/>
        <sz val="11"/>
        <rFont val="Arial"/>
        <family val="2"/>
      </rPr>
      <t>A_min</t>
    </r>
    <r>
      <rPr>
        <sz val="11"/>
        <rFont val="Arial"/>
        <family val="2"/>
      </rPr>
      <t xml:space="preserve"> =</t>
    </r>
  </si>
  <si>
    <r>
      <rPr>
        <b/>
        <sz val="11"/>
        <rFont val="Arial"/>
        <family val="2"/>
      </rPr>
      <t>Maximum</t>
    </r>
    <r>
      <rPr>
        <sz val="11"/>
        <rFont val="Arial"/>
        <family val="2"/>
      </rPr>
      <t xml:space="preserve"> Auxiliary Winding Turns</t>
    </r>
  </si>
  <si>
    <r>
      <t>N</t>
    </r>
    <r>
      <rPr>
        <vertAlign val="subscript"/>
        <sz val="11"/>
        <rFont val="Arial"/>
        <family val="2"/>
      </rPr>
      <t>A_max</t>
    </r>
    <r>
      <rPr>
        <sz val="11"/>
        <rFont val="Arial"/>
        <family val="2"/>
      </rPr>
      <t xml:space="preserve"> =</t>
    </r>
  </si>
  <si>
    <t>Auxiliary Winding Turns Used in Calculations</t>
  </si>
  <si>
    <r>
      <t>N</t>
    </r>
    <r>
      <rPr>
        <vertAlign val="subscript"/>
        <sz val="11"/>
        <rFont val="Arial"/>
        <family val="2"/>
      </rPr>
      <t>A</t>
    </r>
    <r>
      <rPr>
        <sz val="11"/>
        <rFont val="Arial"/>
        <family val="2"/>
      </rPr>
      <t xml:space="preserve"> =</t>
    </r>
  </si>
  <si>
    <r>
      <t>N</t>
    </r>
    <r>
      <rPr>
        <sz val="7"/>
        <rFont val="Arial"/>
        <family val="2"/>
      </rPr>
      <t xml:space="preserve">A_min </t>
    </r>
    <r>
      <rPr>
        <sz val="11"/>
        <rFont val="Arial"/>
        <family val="2"/>
      </rPr>
      <t>&lt;NA&lt;N</t>
    </r>
    <r>
      <rPr>
        <sz val="7"/>
        <rFont val="Arial"/>
        <family val="2"/>
      </rPr>
      <t xml:space="preserve">A_max </t>
    </r>
  </si>
  <si>
    <r>
      <t>V</t>
    </r>
    <r>
      <rPr>
        <vertAlign val="subscript"/>
        <sz val="11"/>
        <rFont val="Arial"/>
        <family val="2"/>
      </rPr>
      <t>Rfl</t>
    </r>
    <r>
      <rPr>
        <sz val="11"/>
        <rFont val="Arial"/>
        <family val="2"/>
      </rPr>
      <t xml:space="preserve"> =</t>
    </r>
  </si>
  <si>
    <r>
      <t>D</t>
    </r>
    <r>
      <rPr>
        <vertAlign val="subscript"/>
        <sz val="11"/>
        <rFont val="Arial"/>
        <family val="2"/>
      </rPr>
      <t>_max</t>
    </r>
    <r>
      <rPr>
        <sz val="11"/>
        <rFont val="Arial"/>
        <family val="2"/>
      </rPr>
      <t xml:space="preserve"> =</t>
    </r>
  </si>
  <si>
    <r>
      <rPr>
        <b/>
        <sz val="11"/>
        <rFont val="Arial"/>
        <family val="2"/>
      </rPr>
      <t>Recommended</t>
    </r>
    <r>
      <rPr>
        <sz val="11"/>
        <rFont val="Arial"/>
        <family val="2"/>
      </rPr>
      <t xml:space="preserve"> Magnetizing Inductance </t>
    </r>
  </si>
  <si>
    <r>
      <t>L</t>
    </r>
    <r>
      <rPr>
        <vertAlign val="subscript"/>
        <sz val="11"/>
        <rFont val="Arial"/>
        <family val="2"/>
      </rPr>
      <t>M_recommended</t>
    </r>
    <r>
      <rPr>
        <sz val="11"/>
        <rFont val="Arial"/>
        <family val="2"/>
      </rPr>
      <t xml:space="preserve"> =</t>
    </r>
  </si>
  <si>
    <r>
      <rPr>
        <b/>
        <sz val="11"/>
        <rFont val="Arial"/>
        <family val="2"/>
      </rPr>
      <t>Actual</t>
    </r>
    <r>
      <rPr>
        <sz val="11"/>
        <rFont val="Arial"/>
        <family val="2"/>
      </rPr>
      <t xml:space="preserve"> Magnetizing Inductance </t>
    </r>
  </si>
  <si>
    <r>
      <t>L</t>
    </r>
    <r>
      <rPr>
        <vertAlign val="subscript"/>
        <sz val="11"/>
        <rFont val="Arial"/>
        <family val="2"/>
      </rPr>
      <t xml:space="preserve">M_actual </t>
    </r>
    <r>
      <rPr>
        <sz val="11"/>
        <rFont val="Arial"/>
        <family val="2"/>
      </rPr>
      <t>=</t>
    </r>
  </si>
  <si>
    <r>
      <t>L</t>
    </r>
    <r>
      <rPr>
        <vertAlign val="subscript"/>
        <sz val="11"/>
        <rFont val="Arial"/>
        <family val="2"/>
      </rPr>
      <t>M</t>
    </r>
    <r>
      <rPr>
        <sz val="11"/>
        <rFont val="Arial"/>
        <family val="2"/>
      </rPr>
      <t xml:space="preserve"> =</t>
    </r>
  </si>
  <si>
    <r>
      <t>L</t>
    </r>
    <r>
      <rPr>
        <vertAlign val="subscript"/>
        <sz val="11"/>
        <rFont val="Arial"/>
        <family val="2"/>
      </rPr>
      <t>K_actual</t>
    </r>
    <r>
      <rPr>
        <sz val="11"/>
        <rFont val="Arial"/>
        <family val="2"/>
      </rPr>
      <t>=</t>
    </r>
  </si>
  <si>
    <r>
      <t>η</t>
    </r>
    <r>
      <rPr>
        <vertAlign val="subscript"/>
        <sz val="11"/>
        <rFont val="Arial"/>
        <family val="2"/>
      </rPr>
      <t>XFMR</t>
    </r>
    <r>
      <rPr>
        <sz val="11"/>
        <rFont val="Arial"/>
        <family val="2"/>
      </rPr>
      <t xml:space="preserve"> =</t>
    </r>
  </si>
  <si>
    <r>
      <t>C</t>
    </r>
    <r>
      <rPr>
        <vertAlign val="subscript"/>
        <sz val="11"/>
        <rFont val="Arial"/>
        <family val="2"/>
      </rPr>
      <t>Tr</t>
    </r>
    <r>
      <rPr>
        <sz val="11"/>
        <rFont val="Arial"/>
        <family val="2"/>
      </rPr>
      <t xml:space="preserve"> =</t>
    </r>
  </si>
  <si>
    <r>
      <t>R</t>
    </r>
    <r>
      <rPr>
        <vertAlign val="subscript"/>
        <sz val="11"/>
        <rFont val="Arial"/>
        <family val="2"/>
      </rPr>
      <t>pri_dc</t>
    </r>
    <r>
      <rPr>
        <sz val="11"/>
        <rFont val="Arial"/>
        <family val="2"/>
      </rPr>
      <t xml:space="preserve"> =</t>
    </r>
  </si>
  <si>
    <r>
      <t>V</t>
    </r>
    <r>
      <rPr>
        <vertAlign val="subscript"/>
        <sz val="11"/>
        <rFont val="Arial"/>
        <family val="2"/>
      </rPr>
      <t>DD_off_typ</t>
    </r>
    <r>
      <rPr>
        <sz val="11"/>
        <rFont val="Arial"/>
        <family val="2"/>
      </rPr>
      <t xml:space="preserve"> =</t>
    </r>
  </si>
  <si>
    <r>
      <t>V</t>
    </r>
    <r>
      <rPr>
        <vertAlign val="subscript"/>
        <sz val="11"/>
        <rFont val="Arial"/>
        <family val="2"/>
      </rPr>
      <t>DD_on</t>
    </r>
    <r>
      <rPr>
        <sz val="11"/>
        <rFont val="Arial"/>
        <family val="2"/>
      </rPr>
      <t xml:space="preserve"> =</t>
    </r>
  </si>
  <si>
    <r>
      <t>V</t>
    </r>
    <r>
      <rPr>
        <vertAlign val="subscript"/>
        <sz val="11"/>
        <rFont val="Arial"/>
        <family val="2"/>
      </rPr>
      <t>DD_max</t>
    </r>
    <r>
      <rPr>
        <sz val="11"/>
        <rFont val="Arial"/>
        <family val="2"/>
      </rPr>
      <t xml:space="preserve"> =</t>
    </r>
  </si>
  <si>
    <r>
      <t>V</t>
    </r>
    <r>
      <rPr>
        <vertAlign val="subscript"/>
        <sz val="11"/>
        <rFont val="Arial"/>
        <family val="2"/>
      </rPr>
      <t>DD_PCT</t>
    </r>
    <r>
      <rPr>
        <sz val="11"/>
        <rFont val="Arial"/>
        <family val="2"/>
      </rPr>
      <t xml:space="preserve"> =</t>
    </r>
  </si>
  <si>
    <r>
      <t>I</t>
    </r>
    <r>
      <rPr>
        <vertAlign val="subscript"/>
        <sz val="11"/>
        <rFont val="Arial"/>
        <family val="2"/>
      </rPr>
      <t>VSL_run</t>
    </r>
    <r>
      <rPr>
        <sz val="11"/>
        <rFont val="Arial"/>
        <family val="2"/>
      </rPr>
      <t xml:space="preserve"> =</t>
    </r>
  </si>
  <si>
    <r>
      <t>V</t>
    </r>
    <r>
      <rPr>
        <vertAlign val="subscript"/>
        <sz val="11"/>
        <rFont val="Arial"/>
        <family val="2"/>
      </rPr>
      <t xml:space="preserve">VS_OVP </t>
    </r>
    <r>
      <rPr>
        <sz val="11"/>
        <rFont val="Arial"/>
        <family val="2"/>
      </rPr>
      <t>=</t>
    </r>
  </si>
  <si>
    <r>
      <t>t</t>
    </r>
    <r>
      <rPr>
        <vertAlign val="subscript"/>
        <sz val="11"/>
        <rFont val="Arial"/>
        <family val="2"/>
      </rPr>
      <t>D_CS</t>
    </r>
    <r>
      <rPr>
        <sz val="11"/>
        <rFont val="Arial"/>
        <family val="2"/>
      </rPr>
      <t xml:space="preserve"> =</t>
    </r>
  </si>
  <si>
    <r>
      <t xml:space="preserve"> V</t>
    </r>
    <r>
      <rPr>
        <vertAlign val="subscript"/>
        <sz val="11"/>
        <rFont val="Arial"/>
        <family val="2"/>
      </rPr>
      <t>CST_max</t>
    </r>
    <r>
      <rPr>
        <sz val="11"/>
        <rFont val="Arial"/>
        <family val="2"/>
      </rPr>
      <t xml:space="preserve"> =</t>
    </r>
  </si>
  <si>
    <r>
      <t xml:space="preserve"> V</t>
    </r>
    <r>
      <rPr>
        <vertAlign val="subscript"/>
        <sz val="11"/>
        <rFont val="Arial"/>
        <family val="2"/>
      </rPr>
      <t>CST_OPP1</t>
    </r>
    <r>
      <rPr>
        <sz val="11"/>
        <rFont val="Arial"/>
        <family val="2"/>
      </rPr>
      <t xml:space="preserve"> =</t>
    </r>
  </si>
  <si>
    <r>
      <t xml:space="preserve"> V</t>
    </r>
    <r>
      <rPr>
        <vertAlign val="subscript"/>
        <sz val="11"/>
        <rFont val="Arial"/>
        <family val="2"/>
      </rPr>
      <t>CST_OPP4</t>
    </r>
    <r>
      <rPr>
        <sz val="11"/>
        <rFont val="Arial"/>
        <family val="2"/>
      </rPr>
      <t xml:space="preserve"> =</t>
    </r>
  </si>
  <si>
    <r>
      <t xml:space="preserve"> V</t>
    </r>
    <r>
      <rPr>
        <vertAlign val="subscript"/>
        <sz val="11"/>
        <rFont val="Arial"/>
        <family val="2"/>
      </rPr>
      <t>hys_CS</t>
    </r>
    <r>
      <rPr>
        <sz val="11"/>
        <rFont val="Arial"/>
        <family val="2"/>
      </rPr>
      <t xml:space="preserve"> =</t>
    </r>
  </si>
  <si>
    <r>
      <t>V</t>
    </r>
    <r>
      <rPr>
        <vertAlign val="subscript"/>
        <sz val="11"/>
        <rFont val="Arial"/>
        <family val="2"/>
      </rPr>
      <t>s_clamp</t>
    </r>
    <r>
      <rPr>
        <sz val="11"/>
        <rFont val="Arial"/>
        <family val="2"/>
      </rPr>
      <t xml:space="preserve"> =</t>
    </r>
  </si>
  <si>
    <r>
      <t>K</t>
    </r>
    <r>
      <rPr>
        <vertAlign val="subscript"/>
        <sz val="11"/>
        <rFont val="Arial"/>
        <family val="2"/>
      </rPr>
      <t>LC</t>
    </r>
    <r>
      <rPr>
        <sz val="11"/>
        <rFont val="Arial"/>
        <family val="2"/>
      </rPr>
      <t xml:space="preserve"> =</t>
    </r>
  </si>
  <si>
    <r>
      <t>K</t>
    </r>
    <r>
      <rPr>
        <vertAlign val="subscript"/>
        <sz val="11"/>
        <rFont val="Arial"/>
        <family val="2"/>
      </rPr>
      <t>DM</t>
    </r>
    <r>
      <rPr>
        <sz val="11"/>
        <rFont val="Arial"/>
        <family val="2"/>
      </rPr>
      <t xml:space="preserve"> =</t>
    </r>
  </si>
  <si>
    <r>
      <t>F</t>
    </r>
    <r>
      <rPr>
        <vertAlign val="superscript"/>
        <sz val="11"/>
        <rFont val="Arial"/>
        <family val="2"/>
      </rPr>
      <t>-1</t>
    </r>
  </si>
  <si>
    <r>
      <t>Ratio from V</t>
    </r>
    <r>
      <rPr>
        <vertAlign val="subscript"/>
        <sz val="11"/>
        <rFont val="Arial"/>
        <family val="2"/>
      </rPr>
      <t>BUR</t>
    </r>
    <r>
      <rPr>
        <sz val="11"/>
        <rFont val="Arial"/>
        <family val="2"/>
      </rPr>
      <t xml:space="preserve"> to V</t>
    </r>
    <r>
      <rPr>
        <vertAlign val="subscript"/>
        <sz val="11"/>
        <rFont val="Arial"/>
        <family val="2"/>
      </rPr>
      <t>CST</t>
    </r>
    <r>
      <rPr>
        <sz val="11"/>
        <color theme="1"/>
        <rFont val="Arial"/>
        <family val="2"/>
      </rPr>
      <t/>
    </r>
  </si>
  <si>
    <r>
      <t>K</t>
    </r>
    <r>
      <rPr>
        <vertAlign val="subscript"/>
        <sz val="11"/>
        <rFont val="Arial"/>
        <family val="2"/>
      </rPr>
      <t>BUR_CST</t>
    </r>
    <r>
      <rPr>
        <sz val="11"/>
        <rFont val="Arial"/>
        <family val="2"/>
      </rPr>
      <t xml:space="preserve"> =</t>
    </r>
  </si>
  <si>
    <r>
      <t>V</t>
    </r>
    <r>
      <rPr>
        <vertAlign val="subscript"/>
        <sz val="11"/>
        <rFont val="Arial"/>
        <family val="2"/>
      </rPr>
      <t>HVG</t>
    </r>
    <r>
      <rPr>
        <sz val="11"/>
        <rFont val="Arial"/>
        <family val="2"/>
      </rPr>
      <t xml:space="preserve"> =</t>
    </r>
  </si>
  <si>
    <r>
      <t>I</t>
    </r>
    <r>
      <rPr>
        <vertAlign val="subscript"/>
        <sz val="11"/>
        <rFont val="Arial"/>
        <family val="2"/>
      </rPr>
      <t>RUN_VDD</t>
    </r>
    <r>
      <rPr>
        <sz val="11"/>
        <rFont val="Arial"/>
        <family val="2"/>
      </rPr>
      <t xml:space="preserve"> =</t>
    </r>
  </si>
  <si>
    <r>
      <t>I</t>
    </r>
    <r>
      <rPr>
        <vertAlign val="subscript"/>
        <sz val="11"/>
        <rFont val="Arial"/>
        <family val="2"/>
      </rPr>
      <t>wait_VDD</t>
    </r>
    <r>
      <rPr>
        <sz val="11"/>
        <rFont val="Arial"/>
        <family val="2"/>
      </rPr>
      <t xml:space="preserve"> =</t>
    </r>
  </si>
  <si>
    <r>
      <t xml:space="preserve"> t</t>
    </r>
    <r>
      <rPr>
        <vertAlign val="subscript"/>
        <sz val="11"/>
        <rFont val="Arial"/>
        <family val="2"/>
      </rPr>
      <t>D_RUN_PWML</t>
    </r>
    <r>
      <rPr>
        <sz val="11"/>
        <rFont val="Arial"/>
        <family val="2"/>
      </rPr>
      <t xml:space="preserve"> =</t>
    </r>
  </si>
  <si>
    <r>
      <t xml:space="preserve"> I</t>
    </r>
    <r>
      <rPr>
        <vertAlign val="subscript"/>
        <sz val="11"/>
        <rFont val="Arial"/>
        <family val="2"/>
      </rPr>
      <t>start_HVG</t>
    </r>
    <r>
      <rPr>
        <sz val="11"/>
        <rFont val="Arial"/>
        <family val="2"/>
      </rPr>
      <t xml:space="preserve"> =</t>
    </r>
  </si>
  <si>
    <t>µA           ds specs</t>
  </si>
  <si>
    <r>
      <t>Sink Current on V</t>
    </r>
    <r>
      <rPr>
        <vertAlign val="subscript"/>
        <sz val="11"/>
        <rFont val="Arial"/>
        <family val="2"/>
      </rPr>
      <t>DD</t>
    </r>
    <r>
      <rPr>
        <sz val="11"/>
        <rFont val="Arial"/>
        <family val="2"/>
      </rPr>
      <t xml:space="preserve"> pin</t>
    </r>
  </si>
  <si>
    <r>
      <t>I</t>
    </r>
    <r>
      <rPr>
        <vertAlign val="subscript"/>
        <sz val="11"/>
        <rFont val="Arial"/>
        <family val="2"/>
      </rPr>
      <t>EN_VDD</t>
    </r>
    <r>
      <rPr>
        <sz val="11"/>
        <rFont val="Arial"/>
        <family val="2"/>
      </rPr>
      <t xml:space="preserve"> =</t>
    </r>
  </si>
  <si>
    <r>
      <t>V</t>
    </r>
    <r>
      <rPr>
        <vertAlign val="subscript"/>
        <sz val="11"/>
        <rFont val="Arial"/>
        <family val="2"/>
      </rPr>
      <t>FB_max</t>
    </r>
    <r>
      <rPr>
        <sz val="11"/>
        <rFont val="Arial"/>
        <family val="2"/>
      </rPr>
      <t xml:space="preserve"> =</t>
    </r>
  </si>
  <si>
    <r>
      <t>R</t>
    </r>
    <r>
      <rPr>
        <vertAlign val="subscript"/>
        <sz val="11"/>
        <rFont val="Arial"/>
        <family val="2"/>
      </rPr>
      <t>FB_int</t>
    </r>
    <r>
      <rPr>
        <sz val="11"/>
        <rFont val="Arial"/>
        <family val="2"/>
      </rPr>
      <t xml:space="preserve"> =</t>
    </r>
  </si>
  <si>
    <t>Ω             ds specs</t>
  </si>
  <si>
    <r>
      <t>I</t>
    </r>
    <r>
      <rPr>
        <vertAlign val="subscript"/>
        <sz val="11"/>
        <rFont val="Arial"/>
        <family val="2"/>
      </rPr>
      <t>FB_max</t>
    </r>
    <r>
      <rPr>
        <sz val="11"/>
        <rFont val="Arial"/>
        <family val="2"/>
      </rPr>
      <t xml:space="preserve"> =</t>
    </r>
  </si>
  <si>
    <r>
      <rPr>
        <sz val="11"/>
        <rFont val="Calibri"/>
        <family val="2"/>
      </rPr>
      <t>∆</t>
    </r>
    <r>
      <rPr>
        <sz val="11"/>
        <rFont val="Arial"/>
        <family val="2"/>
      </rPr>
      <t>V</t>
    </r>
    <r>
      <rPr>
        <vertAlign val="subscript"/>
        <sz val="11"/>
        <rFont val="Arial"/>
        <family val="2"/>
      </rPr>
      <t>O_ABM</t>
    </r>
    <r>
      <rPr>
        <sz val="11"/>
        <rFont val="Arial"/>
        <family val="2"/>
      </rPr>
      <t xml:space="preserve"> =</t>
    </r>
  </si>
  <si>
    <r>
      <t>Lower Threshold of Burst Rate Frequency in Adaptive Burst Mode</t>
    </r>
    <r>
      <rPr>
        <vertAlign val="subscript"/>
        <sz val="11"/>
        <color theme="1"/>
        <rFont val="Arial"/>
        <family val="2"/>
      </rPr>
      <t/>
    </r>
  </si>
  <si>
    <r>
      <t>f</t>
    </r>
    <r>
      <rPr>
        <vertAlign val="subscript"/>
        <sz val="11"/>
        <rFont val="Arial"/>
        <family val="2"/>
      </rPr>
      <t>BUR_LR</t>
    </r>
    <r>
      <rPr>
        <sz val="11"/>
        <rFont val="Arial"/>
        <family val="2"/>
      </rPr>
      <t xml:space="preserve"> =</t>
    </r>
  </si>
  <si>
    <r>
      <t>f</t>
    </r>
    <r>
      <rPr>
        <vertAlign val="subscript"/>
        <sz val="11"/>
        <rFont val="Arial"/>
        <family val="2"/>
      </rPr>
      <t>BUR_UP</t>
    </r>
    <r>
      <rPr>
        <sz val="11"/>
        <rFont val="Arial"/>
        <family val="2"/>
      </rPr>
      <t xml:space="preserve"> =</t>
    </r>
  </si>
  <si>
    <r>
      <t>t</t>
    </r>
    <r>
      <rPr>
        <vertAlign val="subscript"/>
        <sz val="11"/>
        <rFont val="Arial"/>
        <family val="2"/>
      </rPr>
      <t>FDR</t>
    </r>
    <r>
      <rPr>
        <sz val="11"/>
        <rFont val="Arial"/>
        <family val="2"/>
      </rPr>
      <t xml:space="preserve"> =</t>
    </r>
  </si>
  <si>
    <t>η =</t>
  </si>
  <si>
    <r>
      <t>K</t>
    </r>
    <r>
      <rPr>
        <vertAlign val="subscript"/>
        <sz val="11"/>
        <rFont val="Arial"/>
        <family val="2"/>
      </rPr>
      <t>RES</t>
    </r>
    <r>
      <rPr>
        <sz val="11"/>
        <rFont val="Arial"/>
        <family val="2"/>
      </rPr>
      <t xml:space="preserve"> =</t>
    </r>
  </si>
  <si>
    <r>
      <t xml:space="preserve">Minimum </t>
    </r>
    <r>
      <rPr>
        <sz val="11"/>
        <rFont val="Calibri"/>
        <family val="2"/>
      </rPr>
      <t>∆</t>
    </r>
    <r>
      <rPr>
        <sz val="11"/>
        <rFont val="Arial"/>
        <family val="2"/>
      </rPr>
      <t>V for N</t>
    </r>
    <r>
      <rPr>
        <vertAlign val="subscript"/>
        <sz val="11"/>
        <rFont val="Arial"/>
        <family val="2"/>
      </rPr>
      <t>A_min</t>
    </r>
    <r>
      <rPr>
        <sz val="11"/>
        <rFont val="Arial"/>
        <family val="2"/>
      </rPr>
      <t xml:space="preserve"> Design Margin</t>
    </r>
  </si>
  <si>
    <r>
      <t>∆V</t>
    </r>
    <r>
      <rPr>
        <sz val="7"/>
        <rFont val="Arial"/>
        <family val="2"/>
      </rPr>
      <t>_MIN</t>
    </r>
    <r>
      <rPr>
        <sz val="11"/>
        <rFont val="Arial"/>
        <family val="2"/>
      </rPr>
      <t xml:space="preserve"> =</t>
    </r>
  </si>
  <si>
    <r>
      <t>ΔV</t>
    </r>
    <r>
      <rPr>
        <sz val="7"/>
        <rFont val="Arial"/>
        <family val="2"/>
      </rPr>
      <t xml:space="preserve">SPIKE </t>
    </r>
    <r>
      <rPr>
        <sz val="11"/>
        <rFont val="Arial"/>
        <family val="2"/>
      </rPr>
      <t>=</t>
    </r>
  </si>
  <si>
    <r>
      <t>ΔV</t>
    </r>
    <r>
      <rPr>
        <sz val="7"/>
        <rFont val="Arial"/>
        <family val="2"/>
      </rPr>
      <t>CLAMP</t>
    </r>
    <r>
      <rPr>
        <sz val="11"/>
        <rFont val="Arial"/>
        <family val="2"/>
      </rPr>
      <t>=</t>
    </r>
  </si>
  <si>
    <r>
      <rPr>
        <b/>
        <sz val="11"/>
        <rFont val="Arial"/>
        <family val="2"/>
      </rPr>
      <t>Recommended</t>
    </r>
    <r>
      <rPr>
        <sz val="11"/>
        <rFont val="Arial"/>
        <family val="2"/>
      </rPr>
      <t xml:space="preserve"> Maximum R</t>
    </r>
    <r>
      <rPr>
        <vertAlign val="subscript"/>
        <sz val="11"/>
        <rFont val="Arial"/>
        <family val="2"/>
      </rPr>
      <t>Vo2</t>
    </r>
    <r>
      <rPr>
        <sz val="11"/>
        <rFont val="Arial"/>
        <family val="2"/>
      </rPr>
      <t xml:space="preserve"> Resistor</t>
    </r>
  </si>
  <si>
    <r>
      <t>R</t>
    </r>
    <r>
      <rPr>
        <vertAlign val="subscript"/>
        <sz val="11"/>
        <rFont val="Arial"/>
        <family val="2"/>
      </rPr>
      <t>vo2_rec_max</t>
    </r>
    <r>
      <rPr>
        <sz val="11"/>
        <rFont val="Arial"/>
        <family val="2"/>
      </rPr>
      <t xml:space="preserve"> =</t>
    </r>
  </si>
  <si>
    <t>RECOMMENDED Values (Primary Resonance)</t>
  </si>
  <si>
    <r>
      <t>N</t>
    </r>
    <r>
      <rPr>
        <vertAlign val="subscript"/>
        <sz val="12"/>
        <rFont val="Arial"/>
        <family val="2"/>
      </rPr>
      <t>PS</t>
    </r>
    <r>
      <rPr>
        <sz val="12"/>
        <color theme="1"/>
        <rFont val="Arial"/>
        <family val="2"/>
      </rPr>
      <t/>
    </r>
  </si>
  <si>
    <r>
      <t>N</t>
    </r>
    <r>
      <rPr>
        <sz val="8"/>
        <rFont val="Arial"/>
        <family val="2"/>
      </rPr>
      <t>AS</t>
    </r>
  </si>
  <si>
    <r>
      <t>N</t>
    </r>
    <r>
      <rPr>
        <vertAlign val="subscript"/>
        <sz val="12"/>
        <rFont val="Arial"/>
        <family val="2"/>
      </rPr>
      <t>P</t>
    </r>
  </si>
  <si>
    <r>
      <t>N</t>
    </r>
    <r>
      <rPr>
        <vertAlign val="subscript"/>
        <sz val="12"/>
        <rFont val="Arial"/>
        <family val="2"/>
      </rPr>
      <t>S</t>
    </r>
  </si>
  <si>
    <r>
      <t>N</t>
    </r>
    <r>
      <rPr>
        <vertAlign val="subscript"/>
        <sz val="12"/>
        <rFont val="Arial"/>
        <family val="2"/>
      </rPr>
      <t>A</t>
    </r>
  </si>
  <si>
    <t>Secondary Resonance and Active Ripple Compensation (ARC) Circuit</t>
  </si>
  <si>
    <r>
      <t>L</t>
    </r>
    <r>
      <rPr>
        <sz val="7"/>
        <rFont val="Calibri"/>
        <family val="2"/>
        <scheme val="minor"/>
      </rPr>
      <t xml:space="preserve">DAMP </t>
    </r>
    <r>
      <rPr>
        <sz val="11"/>
        <rFont val="Calibri"/>
        <family val="2"/>
        <scheme val="minor"/>
      </rPr>
      <t>&gt; 0.13*Lo</t>
    </r>
  </si>
  <si>
    <r>
      <t>R</t>
    </r>
    <r>
      <rPr>
        <sz val="7"/>
        <rFont val="Calibri"/>
        <family val="2"/>
        <scheme val="minor"/>
      </rPr>
      <t>DAMP</t>
    </r>
    <r>
      <rPr>
        <sz val="11"/>
        <rFont val="Calibri"/>
        <family val="2"/>
        <scheme val="minor"/>
      </rPr>
      <t>&gt;=√(Lo/Co1 )</t>
    </r>
  </si>
  <si>
    <t xml:space="preserve">Recommended Minimum Lo </t>
  </si>
  <si>
    <r>
      <t>Minimum L</t>
    </r>
    <r>
      <rPr>
        <vertAlign val="subscript"/>
        <sz val="11"/>
        <rFont val="Arial"/>
        <family val="2"/>
      </rPr>
      <t>DAMP</t>
    </r>
  </si>
  <si>
    <r>
      <t>L</t>
    </r>
    <r>
      <rPr>
        <vertAlign val="subscript"/>
        <sz val="11"/>
        <rFont val="Arial"/>
        <family val="2"/>
      </rPr>
      <t>DAMP</t>
    </r>
    <r>
      <rPr>
        <sz val="11"/>
        <rFont val="Arial"/>
        <family val="2"/>
      </rPr>
      <t xml:space="preserve"> Used in Calculations</t>
    </r>
  </si>
  <si>
    <r>
      <t>Minimum R</t>
    </r>
    <r>
      <rPr>
        <vertAlign val="subscript"/>
        <sz val="11"/>
        <rFont val="Arial"/>
        <family val="2"/>
      </rPr>
      <t>DAMP</t>
    </r>
  </si>
  <si>
    <r>
      <t>R</t>
    </r>
    <r>
      <rPr>
        <vertAlign val="subscript"/>
        <sz val="11"/>
        <rFont val="Arial"/>
        <family val="2"/>
      </rPr>
      <t>DAMP</t>
    </r>
    <r>
      <rPr>
        <sz val="11"/>
        <rFont val="Arial"/>
        <family val="2"/>
      </rPr>
      <t xml:space="preserve"> Used in Calculations</t>
    </r>
  </si>
  <si>
    <r>
      <t>A.  L</t>
    </r>
    <r>
      <rPr>
        <b/>
        <sz val="7"/>
        <color rgb="FFFF0000"/>
        <rFont val="Arial"/>
        <family val="2"/>
      </rPr>
      <t>DAMP</t>
    </r>
    <r>
      <rPr>
        <b/>
        <sz val="11"/>
        <color rgb="FFFF0000"/>
        <rFont val="Arial"/>
        <family val="2"/>
      </rPr>
      <t xml:space="preserve"> Determination</t>
    </r>
  </si>
  <si>
    <t>B.  Co1  Determination</t>
  </si>
  <si>
    <t>C.   ARC Circuit</t>
  </si>
  <si>
    <r>
      <rPr>
        <b/>
        <sz val="12"/>
        <color rgb="FFFF0000"/>
        <rFont val="Calibri"/>
        <family val="2"/>
        <scheme val="minor"/>
      </rPr>
      <t>C. 1.  R</t>
    </r>
    <r>
      <rPr>
        <b/>
        <sz val="7"/>
        <color rgb="FFFF0000"/>
        <rFont val="Calibri"/>
        <family val="2"/>
        <scheme val="minor"/>
      </rPr>
      <t>COMP</t>
    </r>
    <r>
      <rPr>
        <b/>
        <sz val="12"/>
        <color rgb="FFFF0000"/>
        <rFont val="Calibri"/>
        <family val="2"/>
        <scheme val="minor"/>
      </rPr>
      <t xml:space="preserve"> Determination</t>
    </r>
  </si>
  <si>
    <t>For reference, please see section  7.3.2 of the UCC28780 datasheet for more detail about ARC circuit.</t>
  </si>
  <si>
    <t>Suggested start from 1MΩ, can reduce to improve ABM stability, but no smaller than 510kΩ, or will affect start up and OPP</t>
  </si>
  <si>
    <r>
      <t>Vo</t>
    </r>
    <r>
      <rPr>
        <sz val="11"/>
        <rFont val="Arial"/>
        <family val="2"/>
      </rPr>
      <t xml:space="preserve">ltage on </t>
    </r>
    <r>
      <rPr>
        <b/>
        <sz val="11"/>
        <rFont val="Arial"/>
        <family val="2"/>
      </rPr>
      <t>Leagage</t>
    </r>
    <r>
      <rPr>
        <sz val="11"/>
        <rFont val="Arial"/>
        <family val="2"/>
      </rPr>
      <t xml:space="preserve"> Inducta</t>
    </r>
    <r>
      <rPr>
        <sz val="11"/>
        <color theme="1"/>
        <rFont val="Arial"/>
        <family val="2"/>
      </rPr>
      <t>nce, V</t>
    </r>
    <r>
      <rPr>
        <vertAlign val="subscript"/>
        <sz val="11"/>
        <color theme="1"/>
        <rFont val="Arial"/>
        <family val="2"/>
      </rPr>
      <t xml:space="preserve">LK_pri_max </t>
    </r>
    <r>
      <rPr>
        <sz val="11"/>
        <color theme="1"/>
        <rFont val="Arial"/>
        <family val="2"/>
      </rPr>
      <t>=</t>
    </r>
  </si>
  <si>
    <t>TVS Clamping Diode For SWS</t>
  </si>
  <si>
    <t>Driver (primary-side half-bridge driver specs)</t>
  </si>
  <si>
    <r>
      <t>Typical Reference Input Current, I</t>
    </r>
    <r>
      <rPr>
        <vertAlign val="subscript"/>
        <sz val="11"/>
        <rFont val="Arial"/>
        <family val="2"/>
      </rPr>
      <t>ref_431_typ</t>
    </r>
    <r>
      <rPr>
        <sz val="11"/>
        <rFont val="Arial"/>
        <family val="2"/>
      </rPr>
      <t>=</t>
    </r>
  </si>
  <si>
    <t>Assumed 25% tolerance</t>
  </si>
  <si>
    <t>Assumed 20% tolerance</t>
  </si>
  <si>
    <t xml:space="preserve">Ω            </t>
  </si>
  <si>
    <r>
      <rPr>
        <sz val="11"/>
        <rFont val="Arial"/>
        <family val="2"/>
      </rPr>
      <t xml:space="preserve">Ω  </t>
    </r>
    <r>
      <rPr>
        <b/>
        <sz val="11"/>
        <color rgb="FFFF0000"/>
        <rFont val="Arial"/>
        <family val="2"/>
      </rPr>
      <t xml:space="preserve">                                                     </t>
    </r>
  </si>
  <si>
    <r>
      <t>Enter an asumption value, or measure the waveform on R</t>
    </r>
    <r>
      <rPr>
        <sz val="8"/>
        <color theme="1"/>
        <rFont val="Arial"/>
        <family val="2"/>
      </rPr>
      <t>cs</t>
    </r>
    <r>
      <rPr>
        <sz val="11"/>
        <color theme="1"/>
        <rFont val="Arial"/>
        <family val="2"/>
      </rPr>
      <t xml:space="preserve"> during Vin</t>
    </r>
    <r>
      <rPr>
        <sz val="8"/>
        <color theme="1"/>
        <rFont val="Arial"/>
        <family val="2"/>
      </rPr>
      <t>_max</t>
    </r>
    <r>
      <rPr>
        <sz val="11"/>
        <color theme="1"/>
        <rFont val="Arial"/>
        <family val="2"/>
      </rPr>
      <t xml:space="preserve"> and no load</t>
    </r>
  </si>
  <si>
    <t>RDM Pin Coefficient</t>
  </si>
  <si>
    <t>Suggested start from 1M, can reduce to improve ABM stability, but no smaller than 510 k, or will affect start up and OPP</t>
  </si>
  <si>
    <t>Burst voltage ripple of VO</t>
  </si>
  <si>
    <t>Refer to the figure on the right</t>
  </si>
  <si>
    <r>
      <t>Recommended Output Capacitance, C</t>
    </r>
    <r>
      <rPr>
        <vertAlign val="subscript"/>
        <sz val="11"/>
        <rFont val="Arial"/>
        <family val="2"/>
      </rPr>
      <t xml:space="preserve">OUT_rec </t>
    </r>
    <r>
      <rPr>
        <sz val="11"/>
        <rFont val="Arial"/>
        <family val="2"/>
      </rPr>
      <t>=</t>
    </r>
  </si>
  <si>
    <r>
      <t>Actual</t>
    </r>
    <r>
      <rPr>
        <b/>
        <sz val="11"/>
        <rFont val="Arial"/>
        <family val="2"/>
      </rPr>
      <t xml:space="preserve"> </t>
    </r>
    <r>
      <rPr>
        <sz val="11"/>
        <rFont val="Arial"/>
        <family val="2"/>
      </rPr>
      <t>Output Capacitance, C</t>
    </r>
    <r>
      <rPr>
        <vertAlign val="subscript"/>
        <sz val="11"/>
        <rFont val="Arial"/>
        <family val="2"/>
      </rPr>
      <t>OUT_act</t>
    </r>
    <r>
      <rPr>
        <sz val="11"/>
        <rFont val="Arial"/>
        <family val="2"/>
      </rPr>
      <t xml:space="preserve"> =</t>
    </r>
  </si>
  <si>
    <r>
      <t>Output Capacitance of Selected MOSFET Small-C Above Vxh, C</t>
    </r>
    <r>
      <rPr>
        <vertAlign val="subscript"/>
        <sz val="11"/>
        <color theme="1"/>
        <rFont val="Arial"/>
        <family val="2"/>
      </rPr>
      <t xml:space="preserve">OSS_QL_sm </t>
    </r>
    <r>
      <rPr>
        <sz val="11"/>
        <color theme="1"/>
        <rFont val="Arial"/>
        <family val="2"/>
      </rPr>
      <t>=</t>
    </r>
  </si>
  <si>
    <r>
      <t>Output Capacitance of Selected MOSFET</t>
    </r>
    <r>
      <rPr>
        <b/>
        <sz val="11"/>
        <color theme="1"/>
        <rFont val="Arial"/>
        <family val="2"/>
      </rPr>
      <t xml:space="preserve"> </t>
    </r>
    <r>
      <rPr>
        <sz val="11"/>
        <color theme="1"/>
        <rFont val="Arial"/>
        <family val="2"/>
      </rPr>
      <t>Big-C</t>
    </r>
    <r>
      <rPr>
        <b/>
        <sz val="11"/>
        <color theme="1"/>
        <rFont val="Arial"/>
        <family val="2"/>
      </rPr>
      <t xml:space="preserve"> </t>
    </r>
    <r>
      <rPr>
        <sz val="11"/>
        <color theme="1"/>
        <rFont val="Arial"/>
        <family val="2"/>
      </rPr>
      <t>Below Vxh, C</t>
    </r>
    <r>
      <rPr>
        <vertAlign val="subscript"/>
        <sz val="11"/>
        <color theme="1"/>
        <rFont val="Arial"/>
        <family val="2"/>
      </rPr>
      <t>OSS_QL_bg</t>
    </r>
    <r>
      <rPr>
        <sz val="11"/>
        <color theme="1"/>
        <rFont val="Arial"/>
        <family val="2"/>
      </rPr>
      <t xml:space="preserve"> =</t>
    </r>
  </si>
  <si>
    <r>
      <t>Output Capacitance of Selected MOSFET Small-C Above Vxh, C</t>
    </r>
    <r>
      <rPr>
        <vertAlign val="subscript"/>
        <sz val="11"/>
        <color theme="1"/>
        <rFont val="Arial"/>
        <family val="2"/>
      </rPr>
      <t xml:space="preserve">OSS_QH_sm </t>
    </r>
    <r>
      <rPr>
        <sz val="11"/>
        <color theme="1"/>
        <rFont val="Arial"/>
        <family val="2"/>
      </rPr>
      <t>=</t>
    </r>
  </si>
  <si>
    <r>
      <t>Output Capacitance of Selected MOSFET Big-C Below Vxh, C</t>
    </r>
    <r>
      <rPr>
        <vertAlign val="subscript"/>
        <sz val="11"/>
        <color theme="1"/>
        <rFont val="Arial"/>
        <family val="2"/>
      </rPr>
      <t>OSS_QH_bg</t>
    </r>
    <r>
      <rPr>
        <sz val="11"/>
        <color theme="1"/>
        <rFont val="Arial"/>
        <family val="2"/>
      </rPr>
      <t xml:space="preserve"> =</t>
    </r>
  </si>
  <si>
    <t>MΩ</t>
  </si>
  <si>
    <t>AC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</si>
</sst>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74">
    <font>
      <sz val="11"/>
      <color theme="1"/>
      <name val="Calibri"/>
      <family val="2"/>
      <charset val="13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4"/>
      <color indexed="9"/>
      <name val="Arial"/>
      <family val="2"/>
    </font>
    <font>
      <b/>
      <sz val="12"/>
      <name val="Arial"/>
      <family val="2"/>
    </font>
    <font>
      <sz val="11"/>
      <color theme="1"/>
      <name val="Arial"/>
      <family val="2"/>
    </font>
    <font>
      <b/>
      <sz val="12"/>
      <color theme="0"/>
      <name val="Arial"/>
      <family val="2"/>
    </font>
    <font>
      <b/>
      <i/>
      <sz val="11"/>
      <color rgb="FFFF0000"/>
      <name val="Arial"/>
      <family val="2"/>
    </font>
    <font>
      <vertAlign val="subscript"/>
      <sz val="11"/>
      <color theme="1"/>
      <name val="Arial"/>
      <family val="2"/>
    </font>
    <font>
      <b/>
      <sz val="14"/>
      <color rgb="FFFF0000"/>
      <name val="Arial"/>
      <family val="2"/>
    </font>
    <font>
      <b/>
      <i/>
      <sz val="12"/>
      <color theme="0"/>
      <name val="Arial"/>
      <family val="2"/>
    </font>
    <font>
      <b/>
      <sz val="11"/>
      <color theme="1"/>
      <name val="Arial"/>
      <family val="2"/>
    </font>
    <font>
      <b/>
      <sz val="16"/>
      <color theme="1"/>
      <name val="Arial"/>
      <family val="2"/>
    </font>
    <font>
      <b/>
      <i/>
      <sz val="16"/>
      <color theme="0"/>
      <name val="Arial"/>
      <family val="2"/>
    </font>
    <font>
      <sz val="11"/>
      <name val="Arial"/>
      <family val="2"/>
    </font>
    <font>
      <b/>
      <sz val="11"/>
      <color theme="0"/>
      <name val="Arial"/>
      <family val="2"/>
    </font>
    <font>
      <vertAlign val="subscript"/>
      <sz val="11"/>
      <name val="Arial"/>
      <family val="2"/>
    </font>
    <font>
      <b/>
      <i/>
      <vertAlign val="subscript"/>
      <sz val="12"/>
      <color theme="0"/>
      <name val="Arial"/>
      <family val="2"/>
    </font>
    <font>
      <b/>
      <sz val="14"/>
      <color theme="1"/>
      <name val="Arial"/>
      <family val="2"/>
    </font>
    <font>
      <b/>
      <sz val="10"/>
      <name val="Arial"/>
      <family val="2"/>
    </font>
    <font>
      <b/>
      <sz val="9"/>
      <name val="Arial"/>
      <family val="2"/>
    </font>
    <font>
      <sz val="12"/>
      <name val="Arial"/>
      <family val="2"/>
    </font>
    <font>
      <vertAlign val="subscript"/>
      <sz val="12"/>
      <name val="Arial"/>
      <family val="2"/>
    </font>
    <font>
      <sz val="9"/>
      <name val="Calibri"/>
      <family val="2"/>
      <charset val="136"/>
      <scheme val="minor"/>
    </font>
    <font>
      <sz val="11"/>
      <name val="Calibri"/>
      <family val="2"/>
      <charset val="136"/>
      <scheme val="minor"/>
    </font>
    <font>
      <i/>
      <sz val="11"/>
      <name val="Arial"/>
      <family val="2"/>
    </font>
    <font>
      <sz val="11"/>
      <color theme="1"/>
      <name val="Calibri"/>
      <family val="2"/>
    </font>
    <font>
      <b/>
      <sz val="11"/>
      <name val="Arial"/>
      <family val="2"/>
    </font>
    <font>
      <sz val="12"/>
      <color theme="1"/>
      <name val="Arial"/>
      <family val="2"/>
    </font>
    <font>
      <b/>
      <sz val="12"/>
      <color rgb="FFFF0000"/>
      <name val="Arial"/>
      <family val="2"/>
    </font>
    <font>
      <b/>
      <vertAlign val="subscript"/>
      <sz val="12"/>
      <color rgb="FFFF0000"/>
      <name val="Arial"/>
      <family val="2"/>
    </font>
    <font>
      <sz val="12"/>
      <color theme="1"/>
      <name val="Calibri"/>
      <family val="2"/>
    </font>
    <font>
      <sz val="11"/>
      <color theme="1"/>
      <name val="FangSong"/>
      <family val="3"/>
      <charset val="134"/>
    </font>
    <font>
      <b/>
      <vertAlign val="subscript"/>
      <sz val="11"/>
      <color theme="1"/>
      <name val="Arial"/>
      <family val="2"/>
    </font>
    <font>
      <b/>
      <vertAlign val="superscript"/>
      <sz val="11"/>
      <color theme="1"/>
      <name val="Arial"/>
      <family val="2"/>
    </font>
    <font>
      <b/>
      <sz val="11"/>
      <color rgb="FFFF0000"/>
      <name val="Arial"/>
      <family val="2"/>
    </font>
    <font>
      <b/>
      <sz val="16"/>
      <color rgb="FFFF0000"/>
      <name val="Arial"/>
      <family val="2"/>
    </font>
    <font>
      <b/>
      <sz val="22"/>
      <color rgb="FFFF0000"/>
      <name val="Arial"/>
      <family val="2"/>
    </font>
    <font>
      <sz val="11"/>
      <color rgb="FFFF0000"/>
      <name val="Arial"/>
      <family val="2"/>
    </font>
    <font>
      <vertAlign val="subscript"/>
      <sz val="11"/>
      <color rgb="FFFF0000"/>
      <name val="Arial"/>
      <family val="2"/>
    </font>
    <font>
      <b/>
      <sz val="11"/>
      <color rgb="FFFF00FF"/>
      <name val="Calibri"/>
      <family val="2"/>
      <scheme val="minor"/>
    </font>
    <font>
      <sz val="11"/>
      <color rgb="FFFF00FF"/>
      <name val="Arial"/>
      <family val="2"/>
    </font>
    <font>
      <b/>
      <sz val="11"/>
      <color rgb="FFFF0000"/>
      <name val="Calibri"/>
      <family val="2"/>
      <scheme val="minor"/>
    </font>
    <font>
      <b/>
      <sz val="11"/>
      <color rgb="FFFF00FF"/>
      <name val="Arial"/>
      <family val="2"/>
    </font>
    <font>
      <sz val="11"/>
      <color rgb="FFFF00FF"/>
      <name val="Calibri"/>
      <family val="2"/>
      <charset val="136"/>
      <scheme val="minor"/>
    </font>
    <font>
      <sz val="10"/>
      <color rgb="FFFF00FF"/>
      <name val="Arial"/>
      <family val="2"/>
    </font>
    <font>
      <b/>
      <sz val="14"/>
      <color rgb="FFFF0000"/>
      <name val="Calibri"/>
      <family val="2"/>
      <scheme val="minor"/>
    </font>
    <font>
      <b/>
      <sz val="14"/>
      <color rgb="FF92D050"/>
      <name val="Arial"/>
      <family val="2"/>
    </font>
    <font>
      <sz val="9"/>
      <color indexed="81"/>
      <name val="Tahoma"/>
      <family val="2"/>
    </font>
    <font>
      <b/>
      <sz val="9"/>
      <color indexed="81"/>
      <name val="Tahoma"/>
      <family val="2"/>
    </font>
    <font>
      <b/>
      <i/>
      <sz val="11"/>
      <color rgb="FF0000FF"/>
      <name val="Arial"/>
      <family val="2"/>
    </font>
    <font>
      <b/>
      <sz val="11"/>
      <color rgb="FFFF66FF"/>
      <name val="Calibri"/>
      <family val="2"/>
      <scheme val="minor"/>
    </font>
    <font>
      <b/>
      <sz val="11"/>
      <color rgb="FF0000FF"/>
      <name val="Wingdings 2"/>
      <family val="1"/>
      <charset val="2"/>
    </font>
    <font>
      <sz val="11"/>
      <color rgb="FF0000FF"/>
      <name val="Calibri"/>
      <family val="2"/>
      <scheme val="minor"/>
    </font>
    <font>
      <b/>
      <sz val="22"/>
      <color rgb="FFFF0000"/>
      <name val="Calibri"/>
      <family val="2"/>
      <scheme val="minor"/>
    </font>
    <font>
      <b/>
      <sz val="7"/>
      <color rgb="FFFF0000"/>
      <name val="Arial"/>
      <family val="2"/>
    </font>
    <font>
      <sz val="11"/>
      <color theme="0"/>
      <name val="Calibri"/>
      <family val="2"/>
      <charset val="136"/>
      <scheme val="minor"/>
    </font>
    <font>
      <sz val="7"/>
      <name val="Arial"/>
      <family val="2"/>
    </font>
    <font>
      <sz val="11"/>
      <name val="Calibri"/>
      <family val="2"/>
    </font>
    <font>
      <b/>
      <i/>
      <sz val="11"/>
      <name val="Arial"/>
      <family val="2"/>
    </font>
    <font>
      <vertAlign val="superscript"/>
      <sz val="11"/>
      <name val="Arial"/>
      <family val="2"/>
    </font>
    <font>
      <sz val="8"/>
      <name val="Arial"/>
      <family val="2"/>
    </font>
    <font>
      <b/>
      <sz val="11"/>
      <name val="Calibri"/>
      <family val="2"/>
      <scheme val="minor"/>
    </font>
    <font>
      <sz val="11"/>
      <name val="Calibri"/>
      <family val="2"/>
      <scheme val="minor"/>
    </font>
    <font>
      <sz val="7"/>
      <name val="Calibri"/>
      <family val="2"/>
      <scheme val="minor"/>
    </font>
    <font>
      <sz val="11"/>
      <color rgb="FFFF0000"/>
      <name val="Calibri"/>
      <family val="2"/>
      <charset val="136"/>
      <scheme val="minor"/>
    </font>
    <font>
      <sz val="11"/>
      <color rgb="FFFF0000"/>
      <name val="Wingdings 2"/>
      <family val="1"/>
      <charset val="2"/>
    </font>
    <font>
      <b/>
      <sz val="12"/>
      <color rgb="FFFF0000"/>
      <name val="Calibri"/>
      <family val="2"/>
      <scheme val="minor"/>
    </font>
    <font>
      <b/>
      <sz val="7"/>
      <color rgb="FFFF0000"/>
      <name val="Calibri"/>
      <family val="2"/>
      <scheme val="minor"/>
    </font>
    <font>
      <b/>
      <sz val="22"/>
      <name val="Calibri"/>
      <family val="2"/>
      <scheme val="minor"/>
    </font>
    <font>
      <sz val="10.5"/>
      <name val="Calibri"/>
      <family val="2"/>
      <scheme val="minor"/>
    </font>
    <font>
      <sz val="8"/>
      <color theme="1"/>
      <name val="Arial"/>
      <family val="2"/>
    </font>
  </fonts>
  <fills count="7">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s>
  <borders count="5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diagonal/>
    </border>
  </borders>
  <cellStyleXfs count="5">
    <xf numFmtId="0" fontId="0" fillId="0" borderId="0">
      <alignment vertical="center"/>
    </xf>
    <xf numFmtId="0" fontId="4" fillId="0" borderId="0"/>
    <xf numFmtId="0" fontId="3" fillId="0" borderId="0"/>
    <xf numFmtId="0" fontId="2" fillId="0" borderId="0"/>
    <xf numFmtId="0" fontId="1" fillId="0" borderId="0"/>
  </cellStyleXfs>
  <cellXfs count="480">
    <xf numFmtId="0" fontId="0" fillId="0" borderId="0" xfId="0">
      <alignment vertical="center"/>
    </xf>
    <xf numFmtId="0" fontId="7" fillId="4" borderId="19" xfId="1" applyFont="1" applyFill="1" applyBorder="1" applyAlignment="1" applyProtection="1">
      <alignment horizontal="center" vertical="center"/>
      <protection locked="0"/>
    </xf>
    <xf numFmtId="0" fontId="7" fillId="4" borderId="11" xfId="1" applyFont="1" applyFill="1" applyBorder="1" applyAlignment="1" applyProtection="1">
      <alignment horizontal="center" vertical="center"/>
      <protection locked="0"/>
    </xf>
    <xf numFmtId="0" fontId="7" fillId="2" borderId="11" xfId="1" applyFont="1" applyFill="1" applyBorder="1" applyAlignment="1">
      <alignment horizontal="center" vertical="center"/>
    </xf>
    <xf numFmtId="164" fontId="7" fillId="2" borderId="11" xfId="1" applyNumberFormat="1" applyFont="1" applyFill="1" applyBorder="1" applyAlignment="1">
      <alignment vertical="center"/>
    </xf>
    <xf numFmtId="0" fontId="7" fillId="2" borderId="8" xfId="1" applyFont="1" applyFill="1" applyBorder="1" applyAlignment="1">
      <alignment vertical="center"/>
    </xf>
    <xf numFmtId="0" fontId="7" fillId="2" borderId="10" xfId="1" applyFont="1" applyFill="1" applyBorder="1" applyAlignment="1">
      <alignment vertical="center"/>
    </xf>
    <xf numFmtId="0" fontId="7" fillId="2" borderId="8" xfId="1" applyFont="1" applyFill="1" applyBorder="1" applyAlignment="1">
      <alignment vertical="center" wrapText="1"/>
    </xf>
    <xf numFmtId="164" fontId="7" fillId="2" borderId="5" xfId="1" applyNumberFormat="1" applyFont="1" applyFill="1" applyBorder="1" applyAlignment="1">
      <alignment vertical="center"/>
    </xf>
    <xf numFmtId="0" fontId="7" fillId="2" borderId="5" xfId="1" applyFont="1" applyFill="1" applyBorder="1" applyAlignment="1">
      <alignment horizontal="center" vertical="center"/>
    </xf>
    <xf numFmtId="0" fontId="7" fillId="2" borderId="36" xfId="1" applyFont="1" applyFill="1" applyBorder="1" applyAlignment="1">
      <alignment vertical="center"/>
    </xf>
    <xf numFmtId="0" fontId="7" fillId="2" borderId="28" xfId="1" applyFont="1" applyFill="1" applyBorder="1" applyAlignment="1">
      <alignment horizontal="center" vertical="center"/>
    </xf>
    <xf numFmtId="164" fontId="7" fillId="2" borderId="28" xfId="1" applyNumberFormat="1" applyFont="1" applyFill="1" applyBorder="1" applyAlignment="1">
      <alignment vertical="center"/>
    </xf>
    <xf numFmtId="0" fontId="7" fillId="2" borderId="21" xfId="1" applyFont="1" applyFill="1" applyBorder="1" applyAlignment="1">
      <alignment horizontal="left" vertical="center"/>
    </xf>
    <xf numFmtId="0" fontId="7" fillId="2" borderId="10" xfId="1" applyFont="1" applyFill="1" applyBorder="1" applyAlignment="1">
      <alignment vertical="center" wrapText="1"/>
    </xf>
    <xf numFmtId="0" fontId="7" fillId="2" borderId="36" xfId="1" applyFont="1" applyFill="1" applyBorder="1" applyAlignment="1">
      <alignment vertical="center" wrapText="1"/>
    </xf>
    <xf numFmtId="0" fontId="20" fillId="2" borderId="10" xfId="3" applyFont="1" applyFill="1" applyBorder="1" applyAlignment="1">
      <alignment vertical="center"/>
    </xf>
    <xf numFmtId="0" fontId="30" fillId="2" borderId="47" xfId="3" applyFont="1" applyFill="1" applyBorder="1" applyAlignment="1">
      <alignment vertical="center"/>
    </xf>
    <xf numFmtId="0" fontId="30" fillId="2" borderId="38" xfId="3" applyFont="1" applyFill="1" applyBorder="1" applyAlignment="1">
      <alignment vertical="center"/>
    </xf>
    <xf numFmtId="0" fontId="30" fillId="2" borderId="39" xfId="3" applyFont="1" applyFill="1" applyBorder="1" applyAlignment="1">
      <alignment vertical="center"/>
    </xf>
    <xf numFmtId="164" fontId="30" fillId="2" borderId="38" xfId="3" applyNumberFormat="1" applyFont="1" applyFill="1" applyBorder="1" applyAlignment="1">
      <alignment vertical="center"/>
    </xf>
    <xf numFmtId="0" fontId="30" fillId="2" borderId="7" xfId="3" applyNumberFormat="1" applyFont="1" applyFill="1" applyBorder="1" applyAlignment="1">
      <alignment vertical="center"/>
    </xf>
    <xf numFmtId="0" fontId="30" fillId="2" borderId="7" xfId="3" applyFont="1" applyFill="1" applyBorder="1" applyAlignment="1">
      <alignment horizontal="left" vertical="center"/>
    </xf>
    <xf numFmtId="0" fontId="31" fillId="2" borderId="48" xfId="3" applyFont="1" applyFill="1" applyBorder="1" applyAlignment="1">
      <alignment horizontal="center" vertical="center"/>
    </xf>
    <xf numFmtId="0" fontId="30" fillId="2" borderId="47" xfId="3" applyFont="1" applyFill="1" applyBorder="1" applyAlignment="1">
      <alignment horizontal="left" vertical="center"/>
    </xf>
    <xf numFmtId="0" fontId="30" fillId="2" borderId="19" xfId="3" applyFont="1" applyFill="1" applyBorder="1" applyAlignment="1">
      <alignment vertical="center"/>
    </xf>
    <xf numFmtId="0" fontId="30" fillId="2" borderId="20" xfId="3" applyFont="1" applyFill="1" applyBorder="1" applyAlignment="1">
      <alignment vertical="center"/>
    </xf>
    <xf numFmtId="164" fontId="30" fillId="2" borderId="20" xfId="3" applyNumberFormat="1" applyFont="1" applyFill="1" applyBorder="1" applyAlignment="1">
      <alignment vertical="center"/>
    </xf>
    <xf numFmtId="0" fontId="30" fillId="2" borderId="23" xfId="3" applyFont="1" applyFill="1" applyBorder="1" applyAlignment="1">
      <alignment vertical="center"/>
    </xf>
    <xf numFmtId="0" fontId="7" fillId="0" borderId="0" xfId="0" applyFont="1" applyAlignment="1">
      <alignment vertical="center" wrapText="1"/>
    </xf>
    <xf numFmtId="0" fontId="0" fillId="0" borderId="0" xfId="0" applyFill="1">
      <alignment vertical="center"/>
    </xf>
    <xf numFmtId="0" fontId="0" fillId="0" borderId="0" xfId="0" applyBorder="1">
      <alignment vertical="center"/>
    </xf>
    <xf numFmtId="0" fontId="0" fillId="0" borderId="0" xfId="0" applyBorder="1" applyAlignment="1">
      <alignment horizontal="center" vertical="center"/>
    </xf>
    <xf numFmtId="0" fontId="16" fillId="2" borderId="5" xfId="1" applyFont="1" applyFill="1" applyBorder="1" applyAlignment="1">
      <alignment horizontal="left" vertical="center"/>
    </xf>
    <xf numFmtId="0" fontId="7" fillId="0" borderId="5" xfId="0" applyFont="1" applyBorder="1">
      <alignment vertical="center"/>
    </xf>
    <xf numFmtId="0" fontId="13" fillId="0" borderId="49" xfId="0" applyFont="1" applyBorder="1" applyAlignment="1">
      <alignment vertical="center"/>
    </xf>
    <xf numFmtId="0" fontId="7" fillId="0" borderId="0" xfId="0" applyFont="1" applyBorder="1" applyAlignment="1">
      <alignment horizontal="left" vertical="center"/>
    </xf>
    <xf numFmtId="0" fontId="7" fillId="0" borderId="0" xfId="0" applyFont="1">
      <alignment vertical="center"/>
    </xf>
    <xf numFmtId="0" fontId="37" fillId="0" borderId="0" xfId="0" applyFont="1">
      <alignment vertical="center"/>
    </xf>
    <xf numFmtId="0" fontId="7" fillId="0" borderId="0" xfId="0" applyFont="1" applyAlignment="1">
      <alignment vertical="center"/>
    </xf>
    <xf numFmtId="0" fontId="39" fillId="0" borderId="0" xfId="0" applyFont="1">
      <alignment vertical="center"/>
    </xf>
    <xf numFmtId="0" fontId="7" fillId="2" borderId="19" xfId="1" applyFont="1" applyFill="1" applyBorder="1" applyAlignment="1">
      <alignment horizontal="left" vertical="center"/>
    </xf>
    <xf numFmtId="0" fontId="7" fillId="2" borderId="22" xfId="1" applyFont="1" applyFill="1" applyBorder="1" applyAlignment="1">
      <alignment horizontal="left" vertical="center"/>
    </xf>
    <xf numFmtId="0" fontId="7" fillId="2" borderId="26" xfId="1" applyFont="1" applyFill="1" applyBorder="1" applyAlignment="1">
      <alignment horizontal="left" vertical="center"/>
    </xf>
    <xf numFmtId="0" fontId="7" fillId="2" borderId="22" xfId="2" applyFont="1" applyFill="1" applyBorder="1" applyAlignment="1">
      <alignment horizontal="left" vertical="center"/>
    </xf>
    <xf numFmtId="0" fontId="12" fillId="3" borderId="37" xfId="1" applyFont="1" applyFill="1" applyBorder="1" applyAlignment="1">
      <alignment horizontal="left" vertical="center"/>
    </xf>
    <xf numFmtId="0" fontId="12" fillId="3" borderId="38" xfId="1" applyFont="1" applyFill="1" applyBorder="1" applyAlignment="1">
      <alignment horizontal="left" vertical="center"/>
    </xf>
    <xf numFmtId="0" fontId="12" fillId="3" borderId="39" xfId="1" applyFont="1" applyFill="1" applyBorder="1" applyAlignment="1">
      <alignment horizontal="left" vertical="center"/>
    </xf>
    <xf numFmtId="0" fontId="31" fillId="2" borderId="32" xfId="3" applyFont="1" applyFill="1" applyBorder="1" applyAlignment="1">
      <alignment horizontal="center" vertical="center"/>
    </xf>
    <xf numFmtId="0" fontId="7" fillId="0" borderId="5" xfId="0" applyFont="1" applyBorder="1" applyAlignment="1">
      <alignment horizontal="left" vertical="center"/>
    </xf>
    <xf numFmtId="0" fontId="7" fillId="4" borderId="5" xfId="1" applyFont="1" applyFill="1" applyBorder="1" applyAlignment="1" applyProtection="1">
      <alignment horizontal="center" vertical="center"/>
      <protection locked="0"/>
    </xf>
    <xf numFmtId="0" fontId="7" fillId="2" borderId="8" xfId="1" applyFont="1" applyFill="1" applyBorder="1" applyAlignment="1" applyProtection="1">
      <alignment vertical="center"/>
    </xf>
    <xf numFmtId="0" fontId="7" fillId="2" borderId="10" xfId="1" applyFont="1" applyFill="1" applyBorder="1" applyAlignment="1" applyProtection="1">
      <alignment vertical="center"/>
    </xf>
    <xf numFmtId="164" fontId="7" fillId="4" borderId="5" xfId="1" applyNumberFormat="1" applyFont="1" applyFill="1" applyBorder="1" applyAlignment="1" applyProtection="1">
      <alignment horizontal="center" vertical="center"/>
      <protection locked="0"/>
    </xf>
    <xf numFmtId="0" fontId="21" fillId="2" borderId="0" xfId="1" applyFont="1" applyFill="1" applyAlignment="1" applyProtection="1">
      <alignment horizontal="right" vertical="center" wrapText="1"/>
    </xf>
    <xf numFmtId="0" fontId="22" fillId="2" borderId="0" xfId="1" applyFont="1" applyFill="1" applyAlignment="1" applyProtection="1">
      <alignment horizontal="right" vertical="center" wrapText="1"/>
    </xf>
    <xf numFmtId="0" fontId="22" fillId="2" borderId="0" xfId="1" applyFont="1" applyFill="1" applyAlignment="1" applyProtection="1">
      <alignment horizontal="left" vertical="center" wrapText="1"/>
    </xf>
    <xf numFmtId="0" fontId="5" fillId="2" borderId="0" xfId="1" applyFont="1" applyFill="1" applyAlignment="1" applyProtection="1">
      <alignment horizontal="center" vertical="center" wrapText="1"/>
    </xf>
    <xf numFmtId="0" fontId="7" fillId="2" borderId="19" xfId="1" applyFont="1" applyFill="1" applyBorder="1" applyAlignment="1" applyProtection="1">
      <alignment vertical="center"/>
    </xf>
    <xf numFmtId="0" fontId="7" fillId="2" borderId="22" xfId="1" applyFont="1" applyFill="1" applyBorder="1" applyAlignment="1" applyProtection="1">
      <alignment vertical="center"/>
    </xf>
    <xf numFmtId="0" fontId="7" fillId="2" borderId="8" xfId="1" applyFont="1" applyFill="1" applyBorder="1" applyAlignment="1" applyProtection="1">
      <alignment vertical="center" wrapText="1"/>
    </xf>
    <xf numFmtId="0" fontId="7" fillId="2" borderId="5" xfId="1" applyFont="1" applyFill="1" applyBorder="1" applyAlignment="1" applyProtection="1">
      <alignment horizontal="center" vertical="center"/>
    </xf>
    <xf numFmtId="0" fontId="7" fillId="2" borderId="20" xfId="1" applyFont="1" applyFill="1" applyBorder="1" applyAlignment="1" applyProtection="1">
      <alignment vertical="center"/>
    </xf>
    <xf numFmtId="0" fontId="7" fillId="2" borderId="23" xfId="1" applyFont="1" applyFill="1" applyBorder="1" applyAlignment="1" applyProtection="1">
      <alignment vertical="center"/>
    </xf>
    <xf numFmtId="0" fontId="7" fillId="2" borderId="19" xfId="1" applyFont="1" applyFill="1" applyBorder="1" applyAlignment="1" applyProtection="1">
      <alignment horizontal="left" vertical="center"/>
    </xf>
    <xf numFmtId="0" fontId="16" fillId="2" borderId="8" xfId="1" applyFont="1" applyFill="1" applyBorder="1" applyAlignment="1" applyProtection="1">
      <alignment horizontal="left" vertical="center"/>
    </xf>
    <xf numFmtId="0" fontId="13" fillId="2" borderId="8" xfId="1" applyFont="1" applyFill="1" applyBorder="1" applyAlignment="1" applyProtection="1">
      <alignment vertical="center"/>
    </xf>
    <xf numFmtId="0" fontId="13" fillId="2" borderId="8" xfId="1" applyFont="1" applyFill="1" applyBorder="1" applyAlignment="1" applyProtection="1">
      <alignment vertical="center" wrapText="1"/>
    </xf>
    <xf numFmtId="0" fontId="7" fillId="2" borderId="10" xfId="1" applyFont="1" applyFill="1" applyBorder="1" applyAlignment="1" applyProtection="1">
      <alignment vertical="center" wrapText="1"/>
    </xf>
    <xf numFmtId="0" fontId="7" fillId="2" borderId="6" xfId="1" applyFont="1" applyFill="1" applyBorder="1" applyAlignment="1" applyProtection="1">
      <alignment vertical="center"/>
    </xf>
    <xf numFmtId="0" fontId="7" fillId="2" borderId="24" xfId="1" applyFont="1" applyFill="1" applyBorder="1" applyAlignment="1" applyProtection="1">
      <alignment vertical="center"/>
    </xf>
    <xf numFmtId="0" fontId="7" fillId="2" borderId="19" xfId="1" applyFont="1" applyFill="1" applyBorder="1" applyAlignment="1" applyProtection="1">
      <alignment horizontal="center" vertical="center"/>
    </xf>
    <xf numFmtId="0" fontId="7" fillId="2" borderId="21" xfId="1" applyFont="1" applyFill="1" applyBorder="1" applyAlignment="1" applyProtection="1">
      <alignment vertical="center"/>
    </xf>
    <xf numFmtId="0" fontId="7" fillId="0" borderId="19" xfId="1" applyFont="1" applyFill="1" applyBorder="1" applyAlignment="1" applyProtection="1">
      <alignment horizontal="center" vertical="center"/>
    </xf>
    <xf numFmtId="0" fontId="9" fillId="2" borderId="20" xfId="1" applyFont="1" applyFill="1" applyBorder="1" applyAlignment="1" applyProtection="1">
      <alignment horizontal="left" vertical="center" wrapText="1"/>
    </xf>
    <xf numFmtId="0" fontId="9" fillId="2" borderId="23" xfId="1" applyFont="1" applyFill="1" applyBorder="1" applyAlignment="1" applyProtection="1">
      <alignment horizontal="left" vertical="center" wrapText="1"/>
    </xf>
    <xf numFmtId="164" fontId="7" fillId="2" borderId="5" xfId="1" applyNumberFormat="1" applyFont="1" applyFill="1" applyBorder="1" applyAlignment="1" applyProtection="1">
      <alignment horizontal="center" vertical="center"/>
    </xf>
    <xf numFmtId="0" fontId="16" fillId="2" borderId="19" xfId="1" applyFont="1" applyFill="1" applyBorder="1" applyAlignment="1" applyProtection="1">
      <alignment horizontal="left" vertical="center"/>
    </xf>
    <xf numFmtId="0" fontId="7" fillId="2" borderId="25" xfId="1" applyFont="1" applyFill="1" applyBorder="1" applyAlignment="1" applyProtection="1">
      <alignment vertical="center"/>
    </xf>
    <xf numFmtId="0" fontId="7" fillId="2" borderId="26" xfId="1" applyFont="1" applyFill="1" applyBorder="1" applyAlignment="1" applyProtection="1">
      <alignment vertical="center"/>
    </xf>
    <xf numFmtId="0" fontId="7" fillId="0" borderId="22" xfId="1" applyFont="1" applyFill="1" applyBorder="1" applyAlignment="1" applyProtection="1">
      <alignment horizontal="center" vertical="center"/>
    </xf>
    <xf numFmtId="0" fontId="16" fillId="2" borderId="8" xfId="1" applyFont="1" applyFill="1" applyBorder="1" applyAlignment="1" applyProtection="1">
      <alignment horizontal="left" vertical="center" wrapText="1"/>
    </xf>
    <xf numFmtId="0" fontId="7" fillId="2" borderId="36" xfId="1" applyFont="1" applyFill="1" applyBorder="1" applyAlignment="1" applyProtection="1">
      <alignment vertical="center"/>
    </xf>
    <xf numFmtId="0" fontId="7" fillId="2" borderId="19" xfId="1" applyFont="1" applyFill="1" applyBorder="1" applyAlignment="1" applyProtection="1">
      <alignment vertical="center" wrapText="1"/>
    </xf>
    <xf numFmtId="0" fontId="40" fillId="0" borderId="0" xfId="0" applyFont="1">
      <alignment vertical="center"/>
    </xf>
    <xf numFmtId="0" fontId="0" fillId="0" borderId="0" xfId="0" applyProtection="1">
      <alignment vertical="center"/>
    </xf>
    <xf numFmtId="0" fontId="0" fillId="2" borderId="0" xfId="0" applyFill="1" applyProtection="1">
      <alignment vertical="center"/>
    </xf>
    <xf numFmtId="0" fontId="7" fillId="2" borderId="0" xfId="1" applyFont="1" applyFill="1" applyBorder="1" applyAlignment="1" applyProtection="1">
      <alignment vertical="center"/>
    </xf>
    <xf numFmtId="0" fontId="7" fillId="2" borderId="0" xfId="1" applyFont="1" applyFill="1" applyBorder="1" applyAlignment="1" applyProtection="1">
      <alignment horizontal="center" vertical="center"/>
    </xf>
    <xf numFmtId="0" fontId="27" fillId="2" borderId="0" xfId="1" applyFont="1" applyFill="1" applyBorder="1" applyAlignment="1" applyProtection="1">
      <alignment horizontal="left" vertical="center" wrapText="1"/>
    </xf>
    <xf numFmtId="0" fontId="9" fillId="2" borderId="0" xfId="1" applyFont="1" applyFill="1" applyBorder="1" applyAlignment="1" applyProtection="1">
      <alignment horizontal="left" vertical="center" wrapText="1"/>
    </xf>
    <xf numFmtId="0" fontId="7" fillId="2" borderId="0" xfId="1" applyFont="1" applyFill="1" applyBorder="1" applyAlignment="1" applyProtection="1">
      <alignment vertical="center" wrapText="1"/>
    </xf>
    <xf numFmtId="0" fontId="7" fillId="2" borderId="0" xfId="1" applyFont="1" applyFill="1" applyBorder="1" applyAlignment="1" applyProtection="1">
      <alignment horizontal="left" vertical="center"/>
    </xf>
    <xf numFmtId="0" fontId="0" fillId="0" borderId="0" xfId="0" applyFill="1" applyProtection="1">
      <alignment vertical="center"/>
    </xf>
    <xf numFmtId="0" fontId="17" fillId="3" borderId="37" xfId="1" applyFont="1" applyFill="1" applyBorder="1" applyAlignment="1" applyProtection="1">
      <alignment vertical="center"/>
    </xf>
    <xf numFmtId="0" fontId="17" fillId="3" borderId="38" xfId="1" applyFont="1" applyFill="1" applyBorder="1" applyAlignment="1" applyProtection="1">
      <alignment vertical="center"/>
    </xf>
    <xf numFmtId="0" fontId="17" fillId="3" borderId="39" xfId="1" applyFont="1" applyFill="1" applyBorder="1" applyAlignment="1" applyProtection="1">
      <alignment vertical="center"/>
    </xf>
    <xf numFmtId="0" fontId="7" fillId="2" borderId="0" xfId="1" applyFont="1" applyFill="1" applyBorder="1" applyAlignment="1" applyProtection="1">
      <alignment horizontal="right" vertical="center"/>
    </xf>
    <xf numFmtId="0" fontId="26" fillId="2" borderId="0" xfId="0" applyFont="1" applyFill="1" applyProtection="1">
      <alignment vertical="center"/>
    </xf>
    <xf numFmtId="0" fontId="7" fillId="2" borderId="5" xfId="1" applyFont="1" applyFill="1" applyBorder="1" applyAlignment="1" applyProtection="1">
      <alignment horizontal="right" vertical="center"/>
    </xf>
    <xf numFmtId="0" fontId="7" fillId="2" borderId="23" xfId="1" applyFont="1" applyFill="1" applyBorder="1" applyAlignment="1" applyProtection="1">
      <alignment horizontal="left" vertical="center"/>
    </xf>
    <xf numFmtId="0" fontId="7" fillId="2" borderId="28" xfId="1" applyFont="1" applyFill="1" applyBorder="1" applyAlignment="1" applyProtection="1">
      <alignment horizontal="right" vertical="center"/>
    </xf>
    <xf numFmtId="0" fontId="7" fillId="2" borderId="11" xfId="1" applyFont="1" applyFill="1" applyBorder="1" applyAlignment="1" applyProtection="1">
      <alignment horizontal="right" vertical="center"/>
    </xf>
    <xf numFmtId="0" fontId="7" fillId="2" borderId="22" xfId="1" applyFont="1" applyFill="1" applyBorder="1" applyAlignment="1" applyProtection="1">
      <alignment horizontal="left" vertical="center"/>
    </xf>
    <xf numFmtId="0" fontId="7" fillId="2" borderId="26" xfId="1" applyFont="1" applyFill="1" applyBorder="1" applyAlignment="1" applyProtection="1">
      <alignment horizontal="left" vertical="center"/>
    </xf>
    <xf numFmtId="0" fontId="23" fillId="2" borderId="30" xfId="1" applyFont="1" applyFill="1" applyBorder="1" applyAlignment="1" applyProtection="1">
      <alignment horizontal="right" vertical="center"/>
    </xf>
    <xf numFmtId="0" fontId="7" fillId="4" borderId="8" xfId="1" applyFont="1" applyFill="1" applyBorder="1" applyAlignment="1" applyProtection="1">
      <alignment vertical="center"/>
    </xf>
    <xf numFmtId="0" fontId="7" fillId="4" borderId="5" xfId="1" applyFont="1" applyFill="1" applyBorder="1" applyAlignment="1" applyProtection="1">
      <alignment horizontal="right" vertical="center"/>
    </xf>
    <xf numFmtId="0" fontId="7" fillId="4" borderId="36" xfId="1" applyFont="1" applyFill="1" applyBorder="1" applyAlignment="1" applyProtection="1">
      <alignment vertical="center"/>
    </xf>
    <xf numFmtId="164" fontId="7" fillId="4" borderId="5" xfId="1" applyNumberFormat="1" applyFont="1" applyFill="1" applyBorder="1" applyAlignment="1" applyProtection="1">
      <alignment horizontal="right" vertical="center"/>
    </xf>
    <xf numFmtId="0" fontId="7" fillId="4" borderId="10" xfId="1" applyFont="1" applyFill="1" applyBorder="1" applyAlignment="1" applyProtection="1">
      <alignment vertical="center"/>
    </xf>
    <xf numFmtId="0" fontId="7" fillId="4" borderId="11" xfId="1" applyFont="1" applyFill="1" applyBorder="1" applyAlignment="1" applyProtection="1">
      <alignment horizontal="right" vertical="center"/>
    </xf>
    <xf numFmtId="164" fontId="7" fillId="2" borderId="11" xfId="1" applyNumberFormat="1" applyFont="1" applyFill="1" applyBorder="1" applyAlignment="1" applyProtection="1">
      <alignment horizontal="center" vertical="center"/>
    </xf>
    <xf numFmtId="164" fontId="7" fillId="2" borderId="28" xfId="1" applyNumberFormat="1" applyFont="1" applyFill="1" applyBorder="1" applyAlignment="1" applyProtection="1">
      <alignment horizontal="center" vertical="center"/>
    </xf>
    <xf numFmtId="0" fontId="7" fillId="4" borderId="19" xfId="1" applyFont="1" applyFill="1" applyBorder="1" applyAlignment="1" applyProtection="1">
      <alignment horizontal="left" vertical="center"/>
    </xf>
    <xf numFmtId="0" fontId="7" fillId="4" borderId="23" xfId="1" applyFont="1" applyFill="1" applyBorder="1" applyAlignment="1" applyProtection="1">
      <alignment horizontal="left" vertical="center"/>
    </xf>
    <xf numFmtId="0" fontId="12" fillId="3" borderId="37" xfId="1" applyFont="1" applyFill="1" applyBorder="1" applyAlignment="1" applyProtection="1">
      <alignment horizontal="left" vertical="center"/>
    </xf>
    <xf numFmtId="0" fontId="12" fillId="3" borderId="38" xfId="1" applyFont="1" applyFill="1" applyBorder="1" applyAlignment="1" applyProtection="1">
      <alignment horizontal="right" vertical="center"/>
    </xf>
    <xf numFmtId="0" fontId="12" fillId="3" borderId="38" xfId="1" applyFont="1" applyFill="1" applyBorder="1" applyAlignment="1" applyProtection="1">
      <alignment horizontal="center" vertical="center"/>
    </xf>
    <xf numFmtId="0" fontId="12" fillId="3" borderId="38" xfId="1" applyFont="1" applyFill="1" applyBorder="1" applyAlignment="1" applyProtection="1">
      <alignment horizontal="left" vertical="center"/>
    </xf>
    <xf numFmtId="0" fontId="12" fillId="3" borderId="39" xfId="1" applyFont="1" applyFill="1" applyBorder="1" applyAlignment="1" applyProtection="1">
      <alignment horizontal="left" vertical="center"/>
    </xf>
    <xf numFmtId="0" fontId="7" fillId="4" borderId="28" xfId="1" applyFont="1" applyFill="1" applyBorder="1" applyAlignment="1" applyProtection="1">
      <alignment horizontal="right" vertical="center"/>
    </xf>
    <xf numFmtId="0" fontId="7" fillId="2" borderId="41" xfId="2" applyFont="1" applyFill="1" applyBorder="1" applyAlignment="1" applyProtection="1">
      <alignment horizontal="left" vertical="center"/>
    </xf>
    <xf numFmtId="0" fontId="7" fillId="2" borderId="42" xfId="2" applyFont="1" applyFill="1" applyBorder="1" applyAlignment="1" applyProtection="1">
      <alignment horizontal="left" vertical="center"/>
    </xf>
    <xf numFmtId="0" fontId="7" fillId="2" borderId="22" xfId="2" applyFont="1" applyFill="1" applyBorder="1" applyAlignment="1" applyProtection="1">
      <alignment horizontal="left" vertical="center"/>
    </xf>
    <xf numFmtId="0" fontId="7" fillId="2" borderId="26" xfId="2" applyFont="1" applyFill="1" applyBorder="1" applyAlignment="1" applyProtection="1">
      <alignment horizontal="left" vertical="center"/>
    </xf>
    <xf numFmtId="164" fontId="7" fillId="2" borderId="0" xfId="1" applyNumberFormat="1" applyFont="1" applyFill="1" applyBorder="1" applyAlignment="1" applyProtection="1">
      <alignment horizontal="center" vertical="center"/>
    </xf>
    <xf numFmtId="0" fontId="7" fillId="2" borderId="0" xfId="2" applyFont="1" applyFill="1" applyBorder="1" applyAlignment="1" applyProtection="1">
      <alignment horizontal="left" vertical="center"/>
    </xf>
    <xf numFmtId="0" fontId="7" fillId="2" borderId="19" xfId="2" applyFont="1" applyFill="1" applyBorder="1" applyAlignment="1" applyProtection="1">
      <alignment vertical="center"/>
    </xf>
    <xf numFmtId="0" fontId="7" fillId="2" borderId="23" xfId="2" applyFont="1" applyFill="1" applyBorder="1" applyAlignment="1" applyProtection="1">
      <alignment vertical="center"/>
    </xf>
    <xf numFmtId="0" fontId="7" fillId="2" borderId="22" xfId="2" applyFont="1" applyFill="1" applyBorder="1" applyAlignment="1" applyProtection="1">
      <alignment vertical="center"/>
    </xf>
    <xf numFmtId="0" fontId="37" fillId="2" borderId="26" xfId="2" applyFont="1" applyFill="1" applyBorder="1" applyAlignment="1" applyProtection="1">
      <alignment vertical="center"/>
    </xf>
    <xf numFmtId="164" fontId="7" fillId="2" borderId="30" xfId="1" applyNumberFormat="1" applyFont="1" applyFill="1" applyBorder="1" applyAlignment="1" applyProtection="1">
      <alignment horizontal="center" vertical="center"/>
    </xf>
    <xf numFmtId="0" fontId="7" fillId="2" borderId="19" xfId="2" applyFont="1" applyFill="1" applyBorder="1" applyAlignment="1" applyProtection="1">
      <alignment horizontal="left" vertical="center"/>
    </xf>
    <xf numFmtId="0" fontId="7" fillId="2" borderId="23" xfId="2" applyFont="1" applyFill="1" applyBorder="1" applyAlignment="1" applyProtection="1">
      <alignment horizontal="left" vertical="center"/>
    </xf>
    <xf numFmtId="0" fontId="7" fillId="2" borderId="43" xfId="2" applyFont="1" applyFill="1" applyBorder="1" applyAlignment="1" applyProtection="1">
      <alignment horizontal="left" vertical="center"/>
    </xf>
    <xf numFmtId="0" fontId="7" fillId="2" borderId="14" xfId="2" applyFont="1" applyFill="1" applyBorder="1" applyAlignment="1" applyProtection="1">
      <alignment horizontal="left" vertical="center"/>
    </xf>
    <xf numFmtId="0" fontId="7" fillId="2" borderId="21" xfId="2" applyFont="1" applyFill="1" applyBorder="1" applyAlignment="1" applyProtection="1">
      <alignment horizontal="left" vertical="center"/>
    </xf>
    <xf numFmtId="0" fontId="7" fillId="2" borderId="24" xfId="2" applyFont="1" applyFill="1" applyBorder="1" applyAlignment="1" applyProtection="1">
      <alignment horizontal="left" vertical="center"/>
    </xf>
    <xf numFmtId="0" fontId="7" fillId="4" borderId="21" xfId="2" applyFont="1" applyFill="1" applyBorder="1" applyAlignment="1" applyProtection="1">
      <alignment horizontal="left" vertical="center"/>
    </xf>
    <xf numFmtId="0" fontId="7" fillId="4" borderId="41" xfId="2" applyFont="1" applyFill="1" applyBorder="1" applyAlignment="1" applyProtection="1">
      <alignment horizontal="left" vertical="center"/>
    </xf>
    <xf numFmtId="0" fontId="7" fillId="4" borderId="42" xfId="2" applyFont="1" applyFill="1" applyBorder="1" applyAlignment="1" applyProtection="1">
      <alignment horizontal="left" vertical="center"/>
    </xf>
    <xf numFmtId="0" fontId="7" fillId="4" borderId="42" xfId="2" applyFont="1" applyFill="1" applyBorder="1" applyAlignment="1" applyProtection="1">
      <alignment horizontal="left" vertical="center" wrapText="1"/>
    </xf>
    <xf numFmtId="0" fontId="7" fillId="4" borderId="22" xfId="1" applyFont="1" applyFill="1" applyBorder="1" applyAlignment="1" applyProtection="1">
      <alignment horizontal="left" vertical="center"/>
    </xf>
    <xf numFmtId="0" fontId="7" fillId="4" borderId="26" xfId="1" applyFont="1" applyFill="1" applyBorder="1" applyAlignment="1" applyProtection="1">
      <alignment horizontal="left" vertical="center"/>
    </xf>
    <xf numFmtId="0" fontId="16" fillId="4" borderId="8" xfId="1" applyFont="1" applyFill="1" applyBorder="1" applyAlignment="1" applyProtection="1">
      <alignment vertical="center"/>
    </xf>
    <xf numFmtId="0" fontId="16" fillId="4" borderId="5" xfId="1" applyFont="1" applyFill="1" applyBorder="1" applyAlignment="1" applyProtection="1">
      <alignment horizontal="right" vertical="center"/>
    </xf>
    <xf numFmtId="0" fontId="7" fillId="4" borderId="19" xfId="2" applyFont="1" applyFill="1" applyBorder="1" applyAlignment="1" applyProtection="1">
      <alignment horizontal="left" vertical="center"/>
    </xf>
    <xf numFmtId="0" fontId="7" fillId="4" borderId="24" xfId="2" applyFont="1" applyFill="1" applyBorder="1" applyAlignment="1" applyProtection="1">
      <alignment horizontal="left" vertical="center"/>
    </xf>
    <xf numFmtId="0" fontId="7" fillId="2" borderId="5" xfId="2" applyFont="1" applyFill="1" applyBorder="1" applyAlignment="1" applyProtection="1">
      <alignment horizontal="left" vertical="center" wrapText="1"/>
    </xf>
    <xf numFmtId="0" fontId="7" fillId="2" borderId="42" xfId="1" applyFont="1" applyFill="1" applyBorder="1" applyAlignment="1" applyProtection="1">
      <alignment horizontal="left" vertical="center"/>
    </xf>
    <xf numFmtId="0" fontId="7" fillId="4" borderId="10" xfId="1" applyFont="1" applyFill="1" applyBorder="1" applyAlignment="1" applyProtection="1">
      <alignment vertical="center" wrapText="1"/>
    </xf>
    <xf numFmtId="0" fontId="7" fillId="4" borderId="22" xfId="2" applyFont="1" applyFill="1" applyBorder="1" applyAlignment="1" applyProtection="1">
      <alignment horizontal="left" vertical="center"/>
    </xf>
    <xf numFmtId="0" fontId="7" fillId="4" borderId="8" xfId="1" applyFont="1" applyFill="1" applyBorder="1" applyAlignment="1" applyProtection="1">
      <alignment vertical="center" wrapText="1"/>
    </xf>
    <xf numFmtId="0" fontId="0" fillId="0" borderId="0" xfId="0" applyAlignment="1" applyProtection="1">
      <alignment horizontal="right" vertical="center"/>
    </xf>
    <xf numFmtId="0" fontId="0" fillId="0" borderId="0" xfId="0" applyAlignment="1" applyProtection="1">
      <alignment horizontal="center" vertical="center"/>
    </xf>
    <xf numFmtId="164" fontId="7" fillId="4" borderId="11" xfId="1" applyNumberFormat="1" applyFont="1" applyFill="1" applyBorder="1" applyAlignment="1" applyProtection="1">
      <alignment horizontal="center" vertical="center"/>
      <protection locked="0"/>
    </xf>
    <xf numFmtId="164" fontId="7" fillId="4" borderId="28" xfId="1" applyNumberFormat="1" applyFont="1" applyFill="1" applyBorder="1" applyAlignment="1" applyProtection="1">
      <alignment horizontal="center" vertical="center"/>
      <protection locked="0"/>
    </xf>
    <xf numFmtId="164" fontId="16" fillId="4" borderId="5" xfId="1" applyNumberFormat="1" applyFont="1" applyFill="1" applyBorder="1" applyAlignment="1" applyProtection="1">
      <alignment horizontal="center" vertical="center"/>
      <protection locked="0"/>
    </xf>
    <xf numFmtId="164" fontId="7" fillId="4" borderId="30" xfId="1" applyNumberFormat="1" applyFont="1" applyFill="1" applyBorder="1" applyAlignment="1" applyProtection="1">
      <alignment horizontal="center" vertical="center"/>
      <protection locked="0"/>
    </xf>
    <xf numFmtId="0" fontId="42" fillId="0" borderId="0" xfId="0" applyFont="1" applyProtection="1">
      <alignment vertical="center"/>
    </xf>
    <xf numFmtId="0" fontId="7" fillId="2" borderId="11" xfId="1" applyFont="1" applyFill="1" applyBorder="1" applyAlignment="1">
      <alignment horizontal="left" vertical="center"/>
    </xf>
    <xf numFmtId="0" fontId="7" fillId="2" borderId="5" xfId="1" applyFont="1" applyFill="1" applyBorder="1" applyAlignment="1">
      <alignment horizontal="left" vertical="center"/>
    </xf>
    <xf numFmtId="0" fontId="7" fillId="2" borderId="19" xfId="2" applyFont="1" applyFill="1" applyBorder="1" applyAlignment="1">
      <alignment horizontal="left" vertical="center"/>
    </xf>
    <xf numFmtId="0" fontId="7" fillId="2" borderId="22" xfId="2" applyFont="1" applyFill="1" applyBorder="1" applyAlignment="1">
      <alignment horizontal="left" vertical="center"/>
    </xf>
    <xf numFmtId="0" fontId="7" fillId="2" borderId="19" xfId="1" applyFont="1" applyFill="1" applyBorder="1" applyAlignment="1">
      <alignment horizontal="left" vertical="center"/>
    </xf>
    <xf numFmtId="0" fontId="42" fillId="0" borderId="0" xfId="0" applyFont="1">
      <alignment vertical="center"/>
    </xf>
    <xf numFmtId="0" fontId="42" fillId="0" borderId="0" xfId="0" applyFont="1" applyBorder="1" applyAlignment="1">
      <alignment horizontal="left" vertical="center"/>
    </xf>
    <xf numFmtId="0" fontId="45" fillId="0" borderId="0" xfId="0" applyFont="1">
      <alignment vertical="center"/>
    </xf>
    <xf numFmtId="0" fontId="44" fillId="0" borderId="0" xfId="0" applyFont="1">
      <alignment vertical="center"/>
    </xf>
    <xf numFmtId="0" fontId="46" fillId="0" borderId="0" xfId="0" applyFont="1">
      <alignment vertical="center"/>
    </xf>
    <xf numFmtId="0" fontId="43" fillId="2" borderId="24" xfId="1" applyFont="1" applyFill="1" applyBorder="1" applyAlignment="1">
      <alignment horizontal="left" vertical="center"/>
    </xf>
    <xf numFmtId="0" fontId="43" fillId="2" borderId="26" xfId="1" applyFont="1" applyFill="1" applyBorder="1" applyAlignment="1">
      <alignment horizontal="left" vertical="center"/>
    </xf>
    <xf numFmtId="0" fontId="47" fillId="2" borderId="23" xfId="1" applyFont="1" applyFill="1" applyBorder="1" applyAlignment="1">
      <alignment horizontal="left" vertical="center"/>
    </xf>
    <xf numFmtId="0" fontId="47" fillId="2" borderId="23" xfId="2" applyFont="1" applyFill="1" applyBorder="1" applyAlignment="1">
      <alignment horizontal="left" vertical="center"/>
    </xf>
    <xf numFmtId="0" fontId="37" fillId="2" borderId="23" xfId="2" applyFont="1" applyFill="1" applyBorder="1" applyAlignment="1">
      <alignment horizontal="left" vertical="center"/>
    </xf>
    <xf numFmtId="0" fontId="37" fillId="2" borderId="26" xfId="2" applyFont="1" applyFill="1" applyBorder="1" applyAlignment="1">
      <alignment horizontal="left" vertical="center"/>
    </xf>
    <xf numFmtId="0" fontId="42" fillId="0" borderId="0" xfId="0" quotePrefix="1" applyFont="1">
      <alignment vertical="center"/>
    </xf>
    <xf numFmtId="0" fontId="8" fillId="3" borderId="0" xfId="1" applyFont="1" applyFill="1" applyBorder="1" applyAlignment="1" applyProtection="1">
      <alignment horizontal="left" vertical="center"/>
    </xf>
    <xf numFmtId="0" fontId="8" fillId="3" borderId="14" xfId="1" applyFont="1" applyFill="1" applyBorder="1" applyAlignment="1" applyProtection="1">
      <alignment horizontal="left" vertical="center"/>
    </xf>
    <xf numFmtId="0" fontId="48" fillId="0" borderId="0" xfId="0" applyFont="1">
      <alignment vertical="center"/>
    </xf>
    <xf numFmtId="0" fontId="7" fillId="4" borderId="5" xfId="1" applyFont="1" applyFill="1" applyBorder="1" applyAlignment="1" applyProtection="1">
      <alignment horizontal="center" vertical="center"/>
    </xf>
    <xf numFmtId="0" fontId="7" fillId="2" borderId="19" xfId="2" applyFont="1" applyFill="1" applyBorder="1" applyAlignment="1" applyProtection="1">
      <alignment horizontal="left" vertical="center"/>
    </xf>
    <xf numFmtId="0" fontId="54" fillId="0" borderId="0" xfId="0" applyFont="1" applyProtection="1">
      <alignment vertical="center"/>
    </xf>
    <xf numFmtId="0" fontId="8" fillId="3" borderId="0" xfId="1" applyFont="1" applyFill="1" applyBorder="1" applyAlignment="1" applyProtection="1">
      <alignment horizontal="center" vertical="center"/>
    </xf>
    <xf numFmtId="0" fontId="12" fillId="3" borderId="8" xfId="1" applyFont="1" applyFill="1" applyBorder="1" applyAlignment="1" applyProtection="1">
      <alignment vertical="center" wrapText="1"/>
    </xf>
    <xf numFmtId="0" fontId="55" fillId="0" borderId="0" xfId="0" applyFont="1">
      <alignment vertical="center"/>
    </xf>
    <xf numFmtId="0" fontId="54" fillId="0" borderId="0" xfId="0" applyFont="1">
      <alignment vertical="center"/>
    </xf>
    <xf numFmtId="0" fontId="56" fillId="0" borderId="0" xfId="0" applyFont="1">
      <alignment vertical="center"/>
    </xf>
    <xf numFmtId="0" fontId="53" fillId="0" borderId="0" xfId="0" applyFont="1">
      <alignment vertical="center"/>
    </xf>
    <xf numFmtId="0" fontId="0" fillId="0" borderId="0" xfId="0" applyAlignment="1">
      <alignment horizontal="right" vertical="center"/>
    </xf>
    <xf numFmtId="165" fontId="7" fillId="2" borderId="21" xfId="1" applyNumberFormat="1" applyFont="1" applyFill="1" applyBorder="1" applyAlignment="1" applyProtection="1">
      <alignment horizontal="center" vertical="center"/>
    </xf>
    <xf numFmtId="0" fontId="16" fillId="2" borderId="20" xfId="1" applyFont="1" applyFill="1" applyBorder="1" applyAlignment="1" applyProtection="1">
      <alignment horizontal="left" vertical="center"/>
    </xf>
    <xf numFmtId="0" fontId="16" fillId="2" borderId="23" xfId="1" applyFont="1" applyFill="1" applyBorder="1" applyAlignment="1" applyProtection="1">
      <alignment horizontal="left" vertical="center"/>
    </xf>
    <xf numFmtId="0" fontId="21" fillId="2" borderId="0" xfId="1" applyFont="1" applyFill="1" applyAlignment="1" applyProtection="1">
      <alignment horizontal="center" vertical="center" wrapText="1"/>
    </xf>
    <xf numFmtId="0" fontId="58" fillId="0" borderId="0" xfId="0" applyFont="1" applyProtection="1">
      <alignment vertical="center"/>
    </xf>
    <xf numFmtId="0" fontId="16" fillId="2" borderId="19" xfId="4" applyFont="1" applyFill="1" applyBorder="1" applyAlignment="1" applyProtection="1">
      <alignment horizontal="center" vertical="center"/>
    </xf>
    <xf numFmtId="0" fontId="16" fillId="2" borderId="19" xfId="1" applyFont="1" applyFill="1" applyBorder="1" applyAlignment="1" applyProtection="1">
      <alignment vertical="center"/>
    </xf>
    <xf numFmtId="0" fontId="26" fillId="0" borderId="23" xfId="0" applyFont="1" applyBorder="1" applyAlignment="1">
      <alignment horizontal="left" vertical="center"/>
    </xf>
    <xf numFmtId="0" fontId="16" fillId="2" borderId="21" xfId="1" applyFont="1" applyFill="1" applyBorder="1" applyAlignment="1" applyProtection="1">
      <alignment vertical="center"/>
    </xf>
    <xf numFmtId="0" fontId="16" fillId="2" borderId="32" xfId="4" applyFont="1" applyFill="1" applyBorder="1" applyAlignment="1" applyProtection="1">
      <alignment vertical="center"/>
    </xf>
    <xf numFmtId="0" fontId="16" fillId="2" borderId="8" xfId="1" applyFont="1" applyFill="1" applyBorder="1" applyAlignment="1" applyProtection="1">
      <alignment vertical="center"/>
    </xf>
    <xf numFmtId="0" fontId="16" fillId="2" borderId="36" xfId="1" applyFont="1" applyFill="1" applyBorder="1" applyAlignment="1" applyProtection="1">
      <alignment vertical="center"/>
    </xf>
    <xf numFmtId="0" fontId="16" fillId="2" borderId="5" xfId="1" applyFont="1" applyFill="1" applyBorder="1" applyAlignment="1" applyProtection="1">
      <alignment vertical="center"/>
    </xf>
    <xf numFmtId="0" fontId="8" fillId="3" borderId="1" xfId="1" applyFont="1" applyFill="1" applyBorder="1" applyAlignment="1" applyProtection="1">
      <alignment horizontal="left" vertical="center"/>
    </xf>
    <xf numFmtId="0" fontId="16" fillId="4" borderId="5" xfId="1" applyFont="1" applyFill="1" applyBorder="1" applyAlignment="1" applyProtection="1">
      <alignment horizontal="center" vertical="center"/>
      <protection locked="0"/>
    </xf>
    <xf numFmtId="0" fontId="16" fillId="4" borderId="19" xfId="1" applyFont="1" applyFill="1" applyBorder="1" applyAlignment="1" applyProtection="1">
      <alignment horizontal="center" vertical="center"/>
      <protection locked="0"/>
    </xf>
    <xf numFmtId="0" fontId="16" fillId="4" borderId="43" xfId="1" applyFont="1" applyFill="1" applyBorder="1" applyAlignment="1" applyProtection="1">
      <alignment horizontal="center" vertical="center"/>
      <protection locked="0"/>
    </xf>
    <xf numFmtId="0" fontId="16" fillId="4" borderId="28" xfId="1" applyFont="1" applyFill="1" applyBorder="1" applyAlignment="1" applyProtection="1">
      <alignment horizontal="center" vertical="center"/>
      <protection locked="0"/>
    </xf>
    <xf numFmtId="0" fontId="16" fillId="0" borderId="8" xfId="1" applyFont="1" applyBorder="1" applyAlignment="1" applyProtection="1">
      <alignment vertical="center" wrapText="1"/>
    </xf>
    <xf numFmtId="0" fontId="16" fillId="2" borderId="8" xfId="1" applyFont="1" applyFill="1" applyBorder="1" applyAlignment="1" applyProtection="1">
      <alignment vertical="center" wrapText="1"/>
    </xf>
    <xf numFmtId="0" fontId="16" fillId="2" borderId="10" xfId="1" applyFont="1" applyFill="1" applyBorder="1" applyAlignment="1" applyProtection="1">
      <alignment vertical="center"/>
    </xf>
    <xf numFmtId="165" fontId="16" fillId="2" borderId="19" xfId="1" applyNumberFormat="1" applyFont="1" applyFill="1" applyBorder="1" applyAlignment="1" applyProtection="1">
      <alignment horizontal="center" vertical="center"/>
    </xf>
    <xf numFmtId="165" fontId="16" fillId="2" borderId="11" xfId="1" applyNumberFormat="1" applyFont="1" applyFill="1" applyBorder="1" applyAlignment="1" applyProtection="1">
      <alignment horizontal="center" vertical="center"/>
    </xf>
    <xf numFmtId="0" fontId="16" fillId="2" borderId="10" xfId="1" applyFont="1" applyFill="1" applyBorder="1" applyAlignment="1" applyProtection="1">
      <alignment vertical="center" wrapText="1"/>
    </xf>
    <xf numFmtId="0" fontId="16" fillId="2" borderId="50" xfId="1" applyFont="1" applyFill="1" applyBorder="1" applyAlignment="1" applyProtection="1">
      <alignment horizontal="left" vertical="center"/>
    </xf>
    <xf numFmtId="0" fontId="29" fillId="2" borderId="49" xfId="1" applyFont="1" applyFill="1" applyBorder="1" applyAlignment="1" applyProtection="1">
      <alignment horizontal="left" vertical="center"/>
    </xf>
    <xf numFmtId="0" fontId="29" fillId="2" borderId="42" xfId="1" applyFont="1" applyFill="1" applyBorder="1" applyAlignment="1" applyProtection="1">
      <alignment horizontal="left" vertical="center"/>
    </xf>
    <xf numFmtId="164" fontId="16" fillId="2" borderId="5" xfId="1" applyNumberFormat="1" applyFont="1" applyFill="1" applyBorder="1" applyAlignment="1" applyProtection="1">
      <alignment horizontal="center" vertical="center"/>
    </xf>
    <xf numFmtId="164" fontId="16" fillId="4" borderId="5" xfId="1" applyNumberFormat="1" applyFont="1" applyFill="1" applyBorder="1" applyAlignment="1" applyProtection="1">
      <alignment horizontal="center" vertical="center"/>
    </xf>
    <xf numFmtId="0" fontId="16" fillId="4" borderId="11" xfId="1" applyFont="1" applyFill="1" applyBorder="1" applyAlignment="1" applyProtection="1">
      <alignment horizontal="center" vertical="center"/>
      <protection locked="0"/>
    </xf>
    <xf numFmtId="0" fontId="16" fillId="2" borderId="22" xfId="1" applyFont="1" applyFill="1" applyBorder="1" applyAlignment="1" applyProtection="1">
      <alignment vertical="center"/>
    </xf>
    <xf numFmtId="0" fontId="37" fillId="2" borderId="23" xfId="1" applyFont="1" applyFill="1" applyBorder="1" applyAlignment="1" applyProtection="1">
      <alignment horizontal="right" vertical="center"/>
    </xf>
    <xf numFmtId="0" fontId="40" fillId="2" borderId="42" xfId="2" applyFont="1" applyFill="1" applyBorder="1" applyAlignment="1" applyProtection="1">
      <alignment horizontal="left" vertical="center"/>
    </xf>
    <xf numFmtId="1" fontId="7" fillId="2" borderId="28" xfId="1" applyNumberFormat="1" applyFont="1" applyFill="1" applyBorder="1" applyAlignment="1" applyProtection="1">
      <alignment horizontal="center" vertical="center"/>
    </xf>
    <xf numFmtId="0" fontId="7" fillId="2" borderId="23" xfId="1" applyFont="1" applyFill="1" applyBorder="1" applyAlignment="1" applyProtection="1">
      <alignment horizontal="left" vertical="center" wrapText="1"/>
    </xf>
    <xf numFmtId="0" fontId="16" fillId="2" borderId="5" xfId="1" applyFont="1" applyFill="1" applyBorder="1" applyAlignment="1" applyProtection="1">
      <alignment horizontal="right" vertical="center"/>
    </xf>
    <xf numFmtId="0" fontId="16" fillId="4" borderId="19" xfId="1" applyFont="1" applyFill="1" applyBorder="1" applyAlignment="1" applyProtection="1">
      <alignment horizontal="center" vertical="center"/>
    </xf>
    <xf numFmtId="0" fontId="16" fillId="4" borderId="23" xfId="1" applyFont="1" applyFill="1" applyBorder="1" applyAlignment="1" applyProtection="1">
      <alignment horizontal="center" vertical="center"/>
    </xf>
    <xf numFmtId="0" fontId="16" fillId="2" borderId="19" xfId="1" applyFont="1" applyFill="1" applyBorder="1" applyAlignment="1" applyProtection="1">
      <alignment horizontal="center" vertical="center"/>
    </xf>
    <xf numFmtId="0" fontId="16" fillId="2" borderId="23" xfId="1" applyFont="1" applyFill="1" applyBorder="1" applyAlignment="1" applyProtection="1">
      <alignment horizontal="center" vertical="center"/>
    </xf>
    <xf numFmtId="0" fontId="16" fillId="0" borderId="5" xfId="1" applyFont="1" applyFill="1" applyBorder="1" applyAlignment="1" applyProtection="1">
      <alignment horizontal="right" vertical="center"/>
    </xf>
    <xf numFmtId="164" fontId="16" fillId="0" borderId="5" xfId="1" applyNumberFormat="1" applyFont="1" applyFill="1" applyBorder="1" applyAlignment="1" applyProtection="1">
      <alignment horizontal="center" vertical="center"/>
    </xf>
    <xf numFmtId="0" fontId="16" fillId="2" borderId="19" xfId="1" applyFont="1" applyFill="1" applyBorder="1" applyAlignment="1" applyProtection="1">
      <alignment vertical="center" wrapText="1"/>
    </xf>
    <xf numFmtId="0" fontId="16" fillId="2" borderId="23" xfId="1" applyFont="1" applyFill="1" applyBorder="1" applyAlignment="1" applyProtection="1">
      <alignment vertical="center"/>
    </xf>
    <xf numFmtId="0" fontId="16" fillId="4" borderId="36" xfId="1" applyFont="1" applyFill="1" applyBorder="1" applyAlignment="1" applyProtection="1">
      <alignment vertical="center"/>
    </xf>
    <xf numFmtId="164" fontId="16" fillId="4" borderId="5" xfId="1" applyNumberFormat="1" applyFont="1" applyFill="1" applyBorder="1" applyAlignment="1" applyProtection="1">
      <alignment horizontal="right" vertical="center"/>
    </xf>
    <xf numFmtId="0" fontId="16" fillId="4" borderId="19" xfId="1" applyFont="1" applyFill="1" applyBorder="1" applyAlignment="1" applyProtection="1">
      <alignment vertical="center" wrapText="1"/>
    </xf>
    <xf numFmtId="0" fontId="16" fillId="4" borderId="23" xfId="1" applyFont="1" applyFill="1" applyBorder="1" applyAlignment="1" applyProtection="1">
      <alignment vertical="center"/>
    </xf>
    <xf numFmtId="0" fontId="16" fillId="4" borderId="10" xfId="1" applyFont="1" applyFill="1" applyBorder="1" applyAlignment="1" applyProtection="1">
      <alignment vertical="center"/>
    </xf>
    <xf numFmtId="0" fontId="16" fillId="4" borderId="11" xfId="1" applyFont="1" applyFill="1" applyBorder="1" applyAlignment="1" applyProtection="1">
      <alignment horizontal="right" vertical="center"/>
    </xf>
    <xf numFmtId="164" fontId="16" fillId="4" borderId="11" xfId="1" applyNumberFormat="1" applyFont="1" applyFill="1" applyBorder="1" applyAlignment="1" applyProtection="1">
      <alignment horizontal="center" vertical="center"/>
      <protection locked="0"/>
    </xf>
    <xf numFmtId="165" fontId="16" fillId="2" borderId="5" xfId="1" applyNumberFormat="1" applyFont="1" applyFill="1" applyBorder="1" applyAlignment="1" applyProtection="1">
      <alignment horizontal="center" vertical="center"/>
    </xf>
    <xf numFmtId="0" fontId="16" fillId="2" borderId="5" xfId="1" applyFont="1" applyFill="1" applyBorder="1" applyAlignment="1" applyProtection="1">
      <alignment horizontal="center" vertical="center"/>
    </xf>
    <xf numFmtId="0" fontId="16" fillId="2" borderId="28" xfId="1" applyFont="1" applyFill="1" applyBorder="1" applyAlignment="1" applyProtection="1">
      <alignment horizontal="right" vertical="center"/>
    </xf>
    <xf numFmtId="0" fontId="16" fillId="2" borderId="21" xfId="1" applyFont="1" applyFill="1" applyBorder="1" applyAlignment="1" applyProtection="1">
      <alignment horizontal="center" vertical="center"/>
    </xf>
    <xf numFmtId="0" fontId="16" fillId="2" borderId="21" xfId="1" applyFont="1" applyFill="1" applyBorder="1" applyAlignment="1" applyProtection="1">
      <alignment horizontal="left" vertical="center"/>
    </xf>
    <xf numFmtId="0" fontId="16" fillId="2" borderId="24" xfId="1" applyFont="1" applyFill="1" applyBorder="1" applyAlignment="1" applyProtection="1">
      <alignment horizontal="left" vertical="center"/>
    </xf>
    <xf numFmtId="11" fontId="16" fillId="2" borderId="21" xfId="1" applyNumberFormat="1" applyFont="1" applyFill="1" applyBorder="1" applyAlignment="1" applyProtection="1">
      <alignment horizontal="center" vertical="center"/>
    </xf>
    <xf numFmtId="0" fontId="29" fillId="2" borderId="24" xfId="1" applyFont="1" applyFill="1" applyBorder="1" applyAlignment="1" applyProtection="1">
      <alignment horizontal="left" vertical="center"/>
    </xf>
    <xf numFmtId="0" fontId="16" fillId="2" borderId="21" xfId="1" applyFont="1" applyFill="1" applyBorder="1" applyAlignment="1" applyProtection="1">
      <alignment vertical="center" wrapText="1"/>
    </xf>
    <xf numFmtId="0" fontId="16" fillId="2" borderId="36" xfId="1" applyFont="1" applyFill="1" applyBorder="1" applyAlignment="1" applyProtection="1">
      <alignment vertical="center" wrapText="1"/>
    </xf>
    <xf numFmtId="0" fontId="16" fillId="2" borderId="22" xfId="1" applyFont="1" applyFill="1" applyBorder="1" applyAlignment="1" applyProtection="1">
      <alignment horizontal="center" vertical="center"/>
    </xf>
    <xf numFmtId="0" fontId="16" fillId="2" borderId="22" xfId="1" applyFont="1" applyFill="1" applyBorder="1" applyAlignment="1" applyProtection="1">
      <alignment vertical="center" wrapText="1"/>
    </xf>
    <xf numFmtId="0" fontId="16" fillId="2" borderId="26" xfId="1" applyFont="1" applyFill="1" applyBorder="1" applyAlignment="1" applyProtection="1">
      <alignment horizontal="left" vertical="center"/>
    </xf>
    <xf numFmtId="0" fontId="16" fillId="2" borderId="19" xfId="2" applyFont="1" applyFill="1" applyBorder="1" applyAlignment="1" applyProtection="1">
      <alignment horizontal="left" vertical="center"/>
    </xf>
    <xf numFmtId="0" fontId="23" fillId="2" borderId="19" xfId="3" applyFont="1" applyFill="1" applyBorder="1" applyAlignment="1">
      <alignment vertical="center"/>
    </xf>
    <xf numFmtId="165" fontId="23" fillId="2" borderId="20" xfId="3" applyNumberFormat="1" applyFont="1" applyFill="1" applyBorder="1" applyAlignment="1">
      <alignment vertical="center"/>
    </xf>
    <xf numFmtId="0" fontId="23" fillId="2" borderId="20" xfId="3" applyFont="1" applyFill="1" applyBorder="1" applyAlignment="1">
      <alignment vertical="center"/>
    </xf>
    <xf numFmtId="0" fontId="23" fillId="2" borderId="23" xfId="3" applyFont="1" applyFill="1" applyBorder="1" applyAlignment="1">
      <alignment vertical="center"/>
    </xf>
    <xf numFmtId="2" fontId="23" fillId="2" borderId="20" xfId="3" applyNumberFormat="1" applyFont="1" applyFill="1" applyBorder="1" applyAlignment="1">
      <alignment vertical="center"/>
    </xf>
    <xf numFmtId="164" fontId="23" fillId="2" borderId="20" xfId="3" applyNumberFormat="1" applyFont="1" applyFill="1" applyBorder="1" applyAlignment="1">
      <alignment vertical="center"/>
    </xf>
    <xf numFmtId="1" fontId="23" fillId="2" borderId="20" xfId="3" applyNumberFormat="1" applyFont="1" applyFill="1" applyBorder="1" applyAlignment="1">
      <alignment vertical="center"/>
    </xf>
    <xf numFmtId="164" fontId="23" fillId="2" borderId="19" xfId="3" applyNumberFormat="1" applyFont="1" applyFill="1" applyBorder="1" applyAlignment="1">
      <alignment vertical="center"/>
    </xf>
    <xf numFmtId="0" fontId="16" fillId="0" borderId="5" xfId="0" applyFont="1" applyBorder="1" applyAlignment="1">
      <alignment vertical="center"/>
    </xf>
    <xf numFmtId="0" fontId="26" fillId="0" borderId="5" xfId="0" applyFont="1" applyBorder="1">
      <alignment vertical="center"/>
    </xf>
    <xf numFmtId="0" fontId="64" fillId="0" borderId="0" xfId="0" applyFont="1" applyBorder="1" applyAlignment="1">
      <alignment horizontal="left" vertical="center"/>
    </xf>
    <xf numFmtId="0" fontId="26" fillId="0" borderId="0" xfId="0" applyFont="1" applyBorder="1" applyAlignment="1">
      <alignment horizontal="center" vertical="center"/>
    </xf>
    <xf numFmtId="0" fontId="26" fillId="0" borderId="0" xfId="0" applyFont="1">
      <alignment vertical="center"/>
    </xf>
    <xf numFmtId="0" fontId="26" fillId="0" borderId="0" xfId="0" applyFont="1" applyBorder="1" applyAlignment="1">
      <alignment horizontal="left" vertical="center"/>
    </xf>
    <xf numFmtId="0" fontId="67" fillId="0" borderId="0" xfId="0" applyFont="1">
      <alignment vertical="center"/>
    </xf>
    <xf numFmtId="0" fontId="68" fillId="0" borderId="0" xfId="0" applyFont="1">
      <alignment vertical="center"/>
    </xf>
    <xf numFmtId="0" fontId="64" fillId="0" borderId="0" xfId="0" applyFont="1">
      <alignment vertical="center"/>
    </xf>
    <xf numFmtId="0" fontId="71" fillId="0" borderId="0" xfId="0" applyFont="1">
      <alignment vertical="center"/>
    </xf>
    <xf numFmtId="0" fontId="16" fillId="0" borderId="5" xfId="0" applyFont="1" applyBorder="1">
      <alignment vertical="center"/>
    </xf>
    <xf numFmtId="0" fontId="16" fillId="4" borderId="5" xfId="0" applyFont="1" applyFill="1" applyBorder="1" applyAlignment="1" applyProtection="1">
      <alignment horizontal="center" vertical="center"/>
      <protection locked="0"/>
    </xf>
    <xf numFmtId="0" fontId="16" fillId="0" borderId="21" xfId="0" applyFont="1" applyBorder="1">
      <alignment vertical="center"/>
    </xf>
    <xf numFmtId="0" fontId="26" fillId="0" borderId="51" xfId="0" applyFont="1" applyBorder="1">
      <alignment vertical="center"/>
    </xf>
    <xf numFmtId="0" fontId="16" fillId="0" borderId="43" xfId="0" applyFont="1" applyBorder="1">
      <alignment vertical="center"/>
    </xf>
    <xf numFmtId="0" fontId="16" fillId="0" borderId="52" xfId="0" applyFont="1" applyBorder="1">
      <alignment vertical="center"/>
    </xf>
    <xf numFmtId="0" fontId="16" fillId="0" borderId="0" xfId="0" applyFont="1">
      <alignment vertical="center"/>
    </xf>
    <xf numFmtId="0" fontId="16" fillId="2" borderId="5" xfId="0" applyFont="1" applyFill="1" applyBorder="1" applyAlignment="1">
      <alignment horizontal="center" vertical="center"/>
    </xf>
    <xf numFmtId="0" fontId="16" fillId="0" borderId="41" xfId="0" applyFont="1" applyBorder="1">
      <alignment vertical="center"/>
    </xf>
    <xf numFmtId="0" fontId="16" fillId="0" borderId="29" xfId="0" applyFont="1" applyBorder="1">
      <alignment vertical="center"/>
    </xf>
    <xf numFmtId="0" fontId="16" fillId="0" borderId="5" xfId="0" applyFont="1" applyBorder="1" applyAlignment="1">
      <alignment horizontal="center" vertical="center"/>
    </xf>
    <xf numFmtId="0" fontId="16" fillId="0" borderId="30" xfId="0" applyFont="1" applyBorder="1">
      <alignment vertical="center"/>
    </xf>
    <xf numFmtId="0" fontId="16" fillId="4" borderId="5" xfId="0" applyFont="1" applyFill="1" applyBorder="1" applyProtection="1">
      <alignment vertical="center"/>
      <protection locked="0"/>
    </xf>
    <xf numFmtId="0" fontId="42" fillId="0" borderId="0" xfId="0" applyFont="1" applyBorder="1">
      <alignment vertical="center"/>
    </xf>
    <xf numFmtId="0" fontId="16" fillId="2" borderId="19" xfId="1" applyFont="1" applyFill="1" applyBorder="1" applyAlignment="1" applyProtection="1">
      <alignment horizontal="center" vertical="center"/>
    </xf>
    <xf numFmtId="0" fontId="12" fillId="3" borderId="37" xfId="1" applyFont="1" applyFill="1" applyBorder="1" applyAlignment="1" applyProtection="1">
      <alignment horizontal="left" vertical="center"/>
    </xf>
    <xf numFmtId="0" fontId="12" fillId="3" borderId="38" xfId="1" applyFont="1" applyFill="1" applyBorder="1" applyAlignment="1" applyProtection="1">
      <alignment horizontal="left" vertical="center"/>
    </xf>
    <xf numFmtId="0" fontId="12" fillId="3" borderId="39" xfId="1" applyFont="1" applyFill="1" applyBorder="1" applyAlignment="1" applyProtection="1">
      <alignment horizontal="left" vertical="center"/>
    </xf>
    <xf numFmtId="0" fontId="12" fillId="3" borderId="50" xfId="1" applyFont="1" applyFill="1" applyBorder="1" applyAlignment="1" applyProtection="1">
      <alignment horizontal="left" vertical="center"/>
    </xf>
    <xf numFmtId="0" fontId="12" fillId="2" borderId="49" xfId="1" applyFont="1" applyFill="1" applyBorder="1" applyAlignment="1" applyProtection="1">
      <alignment horizontal="right" vertical="center"/>
    </xf>
    <xf numFmtId="0" fontId="12" fillId="2" borderId="49" xfId="1" applyFont="1" applyFill="1" applyBorder="1" applyAlignment="1" applyProtection="1">
      <alignment horizontal="center" vertical="center"/>
    </xf>
    <xf numFmtId="0" fontId="12" fillId="2" borderId="49" xfId="1" applyFont="1" applyFill="1" applyBorder="1" applyAlignment="1" applyProtection="1">
      <alignment horizontal="left" vertical="center"/>
    </xf>
    <xf numFmtId="0" fontId="12" fillId="2" borderId="42" xfId="1" applyFont="1" applyFill="1" applyBorder="1" applyAlignment="1" applyProtection="1">
      <alignment horizontal="left" vertical="center"/>
    </xf>
    <xf numFmtId="164" fontId="7" fillId="4" borderId="21" xfId="1" applyNumberFormat="1" applyFont="1" applyFill="1" applyBorder="1" applyAlignment="1" applyProtection="1">
      <alignment horizontal="center" vertical="center"/>
      <protection locked="0"/>
    </xf>
    <xf numFmtId="0" fontId="7" fillId="4" borderId="23" xfId="2" applyFont="1" applyFill="1" applyBorder="1" applyAlignment="1" applyProtection="1">
      <alignment horizontal="left" vertical="center" wrapText="1"/>
    </xf>
    <xf numFmtId="0" fontId="7" fillId="4" borderId="5" xfId="1" applyFont="1" applyFill="1" applyBorder="1" applyAlignment="1" applyProtection="1">
      <alignment horizontal="center" vertical="center"/>
      <protection locked="0"/>
    </xf>
    <xf numFmtId="0" fontId="16" fillId="4" borderId="28" xfId="1" applyFont="1" applyFill="1" applyBorder="1" applyAlignment="1" applyProtection="1">
      <alignment horizontal="right" vertical="center"/>
    </xf>
    <xf numFmtId="0" fontId="16" fillId="4" borderId="21" xfId="1" applyFont="1" applyFill="1" applyBorder="1" applyAlignment="1" applyProtection="1">
      <alignment vertical="center" wrapText="1"/>
    </xf>
    <xf numFmtId="0" fontId="16" fillId="4" borderId="24" xfId="1" applyFont="1" applyFill="1" applyBorder="1" applyAlignment="1" applyProtection="1">
      <alignment horizontal="left" vertical="center"/>
    </xf>
    <xf numFmtId="0" fontId="16" fillId="4" borderId="36" xfId="1" applyFont="1" applyFill="1" applyBorder="1" applyAlignment="1" applyProtection="1">
      <alignment vertical="center" wrapText="1"/>
    </xf>
    <xf numFmtId="0" fontId="29" fillId="4" borderId="24" xfId="1" applyFont="1" applyFill="1" applyBorder="1" applyAlignment="1" applyProtection="1">
      <alignment horizontal="left" vertical="center"/>
    </xf>
    <xf numFmtId="0" fontId="16" fillId="4" borderId="21" xfId="1" applyFont="1" applyFill="1" applyBorder="1" applyAlignment="1" applyProtection="1">
      <alignment horizontal="left" vertical="center"/>
    </xf>
    <xf numFmtId="0" fontId="16" fillId="4" borderId="5" xfId="1" applyFont="1" applyFill="1" applyBorder="1" applyAlignment="1" applyProtection="1">
      <alignment vertical="center"/>
    </xf>
    <xf numFmtId="0" fontId="16" fillId="4" borderId="6" xfId="1" applyFont="1" applyFill="1" applyBorder="1" applyAlignment="1" applyProtection="1">
      <alignment horizontal="left" vertical="center"/>
    </xf>
    <xf numFmtId="0" fontId="16" fillId="4" borderId="27" xfId="1" applyFont="1" applyFill="1" applyBorder="1" applyAlignment="1" applyProtection="1">
      <alignment horizontal="left" vertical="center"/>
    </xf>
    <xf numFmtId="0" fontId="16" fillId="4" borderId="20" xfId="1" applyFont="1" applyFill="1" applyBorder="1" applyAlignment="1" applyProtection="1">
      <alignment horizontal="left" vertical="center"/>
    </xf>
    <xf numFmtId="0" fontId="16" fillId="4" borderId="21" xfId="1" applyFont="1" applyFill="1" applyBorder="1" applyAlignment="1" applyProtection="1">
      <alignment horizontal="center" vertical="center"/>
      <protection locked="0"/>
    </xf>
    <xf numFmtId="0" fontId="16" fillId="4" borderId="49" xfId="1" applyFont="1" applyFill="1" applyBorder="1" applyAlignment="1" applyProtection="1">
      <alignment horizontal="left" vertical="center"/>
      <protection locked="0"/>
    </xf>
    <xf numFmtId="165" fontId="16" fillId="0" borderId="0" xfId="0" applyNumberFormat="1" applyFont="1" applyAlignment="1">
      <alignment horizontal="center" vertical="center"/>
    </xf>
    <xf numFmtId="0" fontId="16" fillId="2" borderId="27" xfId="1" applyFont="1" applyFill="1" applyBorder="1" applyAlignment="1" applyProtection="1">
      <alignment horizontal="left" vertical="center" wrapText="1"/>
    </xf>
    <xf numFmtId="0" fontId="29" fillId="2" borderId="9" xfId="1" applyFont="1" applyFill="1" applyBorder="1" applyAlignment="1" applyProtection="1">
      <alignment horizontal="left" vertical="center" wrapText="1"/>
    </xf>
    <xf numFmtId="0" fontId="27" fillId="2" borderId="27" xfId="1" applyFont="1" applyFill="1" applyBorder="1" applyAlignment="1" applyProtection="1">
      <alignment horizontal="left" vertical="center" wrapText="1"/>
    </xf>
    <xf numFmtId="0" fontId="61" fillId="2" borderId="9" xfId="1" applyFont="1" applyFill="1" applyBorder="1" applyAlignment="1" applyProtection="1">
      <alignment horizontal="left" vertical="center" wrapText="1"/>
    </xf>
    <xf numFmtId="0" fontId="16" fillId="2" borderId="40" xfId="1" applyFont="1" applyFill="1" applyBorder="1" applyAlignment="1" applyProtection="1">
      <alignment horizontal="left" vertical="center" wrapText="1"/>
    </xf>
    <xf numFmtId="0" fontId="29" fillId="2" borderId="12" xfId="1" applyFont="1" applyFill="1" applyBorder="1" applyAlignment="1" applyProtection="1">
      <alignment horizontal="left" vertical="center" wrapText="1"/>
    </xf>
    <xf numFmtId="0" fontId="16" fillId="2" borderId="20" xfId="1" applyFont="1" applyFill="1" applyBorder="1" applyAlignment="1" applyProtection="1">
      <alignment horizontal="left" vertical="center"/>
    </xf>
    <xf numFmtId="0" fontId="16" fillId="2" borderId="23" xfId="1" applyFont="1" applyFill="1" applyBorder="1" applyAlignment="1" applyProtection="1">
      <alignment horizontal="left" vertical="center"/>
    </xf>
    <xf numFmtId="0" fontId="61" fillId="2" borderId="27" xfId="1" applyFont="1" applyFill="1" applyBorder="1" applyAlignment="1" applyProtection="1">
      <alignment horizontal="left" vertical="center" wrapText="1"/>
    </xf>
    <xf numFmtId="0" fontId="16" fillId="2" borderId="5" xfId="1" applyFont="1" applyFill="1" applyBorder="1" applyAlignment="1" applyProtection="1">
      <alignment horizontal="left" vertical="center"/>
    </xf>
    <xf numFmtId="0" fontId="16" fillId="2" borderId="9" xfId="1" applyFont="1" applyFill="1" applyBorder="1" applyAlignment="1" applyProtection="1">
      <alignment horizontal="left" vertical="center"/>
    </xf>
    <xf numFmtId="0" fontId="17" fillId="3" borderId="37" xfId="1" applyFont="1" applyFill="1" applyBorder="1" applyAlignment="1" applyProtection="1">
      <alignment horizontal="left" vertical="center"/>
    </xf>
    <xf numFmtId="0" fontId="17" fillId="3" borderId="38" xfId="1" applyFont="1" applyFill="1" applyBorder="1" applyAlignment="1" applyProtection="1">
      <alignment horizontal="left" vertical="center"/>
    </xf>
    <xf numFmtId="0" fontId="17" fillId="3" borderId="39" xfId="1" applyFont="1" applyFill="1" applyBorder="1" applyAlignment="1" applyProtection="1">
      <alignment horizontal="left" vertical="center"/>
    </xf>
    <xf numFmtId="0" fontId="16" fillId="2" borderId="9" xfId="1" applyFont="1" applyFill="1" applyBorder="1" applyAlignment="1" applyProtection="1">
      <alignment horizontal="left" vertical="center" wrapText="1"/>
    </xf>
    <xf numFmtId="0" fontId="29" fillId="3" borderId="38" xfId="1" applyFont="1" applyFill="1" applyBorder="1" applyAlignment="1" applyProtection="1">
      <alignment horizontal="left" vertical="center"/>
    </xf>
    <xf numFmtId="0" fontId="29" fillId="3" borderId="39" xfId="1" applyFont="1" applyFill="1" applyBorder="1" applyAlignment="1" applyProtection="1">
      <alignment horizontal="left" vertical="center"/>
    </xf>
    <xf numFmtId="0" fontId="7" fillId="2" borderId="5" xfId="1" applyFont="1" applyFill="1" applyBorder="1" applyAlignment="1" applyProtection="1">
      <alignment horizontal="left" vertical="center"/>
    </xf>
    <xf numFmtId="0" fontId="7" fillId="2" borderId="9" xfId="1" applyFont="1" applyFill="1" applyBorder="1" applyAlignment="1" applyProtection="1">
      <alignment horizontal="left" vertical="center"/>
    </xf>
    <xf numFmtId="0" fontId="52" fillId="2" borderId="27" xfId="1" applyFont="1" applyFill="1" applyBorder="1" applyAlignment="1" applyProtection="1">
      <alignment horizontal="left" vertical="center" wrapText="1"/>
    </xf>
    <xf numFmtId="0" fontId="9" fillId="2" borderId="9" xfId="1" applyFont="1" applyFill="1" applyBorder="1" applyAlignment="1" applyProtection="1">
      <alignment horizontal="left" vertical="center" wrapText="1"/>
    </xf>
    <xf numFmtId="0" fontId="7" fillId="2" borderId="11" xfId="1" applyFont="1" applyFill="1" applyBorder="1" applyAlignment="1" applyProtection="1">
      <alignment horizontal="left" vertical="center"/>
    </xf>
    <xf numFmtId="0" fontId="7" fillId="2" borderId="12" xfId="1" applyFont="1" applyFill="1" applyBorder="1" applyAlignment="1" applyProtection="1">
      <alignment horizontal="left" vertical="center"/>
    </xf>
    <xf numFmtId="0" fontId="16" fillId="2" borderId="20" xfId="1" applyFont="1" applyFill="1" applyBorder="1" applyAlignment="1" applyProtection="1">
      <alignment horizontal="left" vertical="center" wrapText="1"/>
    </xf>
    <xf numFmtId="0" fontId="16" fillId="2" borderId="23" xfId="1" applyFont="1" applyFill="1" applyBorder="1" applyAlignment="1" applyProtection="1">
      <alignment horizontal="left" vertical="center" wrapText="1"/>
    </xf>
    <xf numFmtId="0" fontId="16" fillId="2" borderId="20" xfId="4" applyFont="1" applyFill="1" applyBorder="1" applyAlignment="1" applyProtection="1">
      <alignment horizontal="left" vertical="center"/>
    </xf>
    <xf numFmtId="0" fontId="26" fillId="0" borderId="23" xfId="0" applyFont="1" applyBorder="1" applyAlignment="1">
      <alignment horizontal="left" vertical="center"/>
    </xf>
    <xf numFmtId="0" fontId="7" fillId="2" borderId="28" xfId="1" applyFont="1" applyFill="1" applyBorder="1" applyAlignment="1" applyProtection="1">
      <alignment horizontal="left" vertical="center"/>
    </xf>
    <xf numFmtId="0" fontId="7" fillId="2" borderId="35" xfId="1" applyFont="1" applyFill="1" applyBorder="1" applyAlignment="1" applyProtection="1">
      <alignment horizontal="left" vertical="center"/>
    </xf>
    <xf numFmtId="0" fontId="16" fillId="2" borderId="6" xfId="1" applyFont="1" applyFill="1" applyBorder="1" applyAlignment="1" applyProtection="1">
      <alignment horizontal="left" vertical="center"/>
    </xf>
    <xf numFmtId="0" fontId="16" fillId="2" borderId="24" xfId="1" applyFont="1" applyFill="1" applyBorder="1" applyAlignment="1" applyProtection="1">
      <alignment horizontal="left" vertical="center"/>
    </xf>
    <xf numFmtId="0" fontId="26" fillId="0" borderId="27" xfId="0" applyFont="1" applyBorder="1" applyAlignment="1">
      <alignment horizontal="left" vertical="center"/>
    </xf>
    <xf numFmtId="0" fontId="16" fillId="2" borderId="29" xfId="1" applyFont="1" applyFill="1" applyBorder="1" applyAlignment="1" applyProtection="1">
      <alignment horizontal="left" vertical="center" wrapText="1"/>
    </xf>
    <xf numFmtId="0" fontId="16" fillId="2" borderId="31" xfId="1" applyFont="1" applyFill="1" applyBorder="1" applyAlignment="1" applyProtection="1">
      <alignment horizontal="left" vertical="center" wrapText="1"/>
    </xf>
    <xf numFmtId="0" fontId="7" fillId="2" borderId="19" xfId="1" applyFont="1" applyFill="1" applyBorder="1" applyAlignment="1" applyProtection="1">
      <alignment horizontal="center" vertical="center" wrapText="1"/>
    </xf>
    <xf numFmtId="0" fontId="7" fillId="2" borderId="20" xfId="1" applyFont="1" applyFill="1" applyBorder="1" applyAlignment="1" applyProtection="1">
      <alignment horizontal="center" vertical="center"/>
    </xf>
    <xf numFmtId="0" fontId="7" fillId="2" borderId="23" xfId="1" applyFont="1" applyFill="1" applyBorder="1" applyAlignment="1" applyProtection="1">
      <alignment horizontal="center" vertical="center"/>
    </xf>
    <xf numFmtId="0" fontId="16" fillId="2" borderId="25" xfId="1" applyFont="1" applyFill="1" applyBorder="1" applyAlignment="1" applyProtection="1">
      <alignment horizontal="left" vertical="center" wrapText="1"/>
    </xf>
    <xf numFmtId="0" fontId="9" fillId="2" borderId="26" xfId="1" applyFont="1" applyFill="1" applyBorder="1" applyAlignment="1" applyProtection="1">
      <alignment horizontal="left" vertical="center" wrapText="1"/>
    </xf>
    <xf numFmtId="0" fontId="9" fillId="2" borderId="27" xfId="1" applyFont="1" applyFill="1" applyBorder="1" applyAlignment="1" applyProtection="1">
      <alignment horizontal="left" vertical="center" wrapText="1"/>
    </xf>
    <xf numFmtId="0" fontId="17" fillId="3" borderId="32" xfId="1" applyFont="1" applyFill="1" applyBorder="1" applyAlignment="1" applyProtection="1">
      <alignment horizontal="left" vertical="center"/>
    </xf>
    <xf numFmtId="0" fontId="17" fillId="3" borderId="33" xfId="1" applyFont="1" applyFill="1" applyBorder="1" applyAlignment="1" applyProtection="1">
      <alignment horizontal="left" vertical="center"/>
    </xf>
    <xf numFmtId="0" fontId="17" fillId="3" borderId="34" xfId="1" applyFont="1" applyFill="1" applyBorder="1" applyAlignment="1" applyProtection="1">
      <alignment horizontal="left" vertical="center"/>
    </xf>
    <xf numFmtId="0" fontId="5" fillId="3" borderId="0" xfId="1" applyFont="1" applyFill="1" applyAlignment="1" applyProtection="1">
      <alignment horizontal="center" vertical="center" wrapText="1"/>
    </xf>
    <xf numFmtId="0" fontId="6" fillId="2" borderId="1" xfId="1" applyFont="1" applyFill="1" applyBorder="1" applyAlignment="1" applyProtection="1">
      <alignment horizontal="left" vertical="center"/>
    </xf>
    <xf numFmtId="0" fontId="6" fillId="2" borderId="7" xfId="1" applyFont="1" applyFill="1" applyBorder="1" applyAlignment="1" applyProtection="1">
      <alignment horizontal="left" vertical="center"/>
    </xf>
    <xf numFmtId="0" fontId="6" fillId="2" borderId="2" xfId="1" applyFont="1" applyFill="1" applyBorder="1" applyAlignment="1" applyProtection="1">
      <alignment horizontal="left" vertical="center"/>
    </xf>
    <xf numFmtId="0" fontId="7" fillId="2" borderId="13" xfId="1" applyFont="1" applyFill="1" applyBorder="1" applyAlignment="1" applyProtection="1">
      <alignment horizontal="center" vertical="center" wrapText="1"/>
    </xf>
    <xf numFmtId="0" fontId="7" fillId="2" borderId="0" xfId="1" applyFont="1" applyFill="1" applyBorder="1" applyAlignment="1" applyProtection="1">
      <alignment horizontal="center" vertical="center" wrapText="1"/>
    </xf>
    <xf numFmtId="0" fontId="7" fillId="2" borderId="14" xfId="1" applyFont="1" applyFill="1" applyBorder="1" applyAlignment="1" applyProtection="1">
      <alignment horizontal="center" vertical="center" wrapText="1"/>
    </xf>
    <xf numFmtId="0" fontId="7" fillId="2" borderId="3" xfId="1" applyFont="1" applyFill="1" applyBorder="1" applyAlignment="1" applyProtection="1">
      <alignment horizontal="center" vertical="center" wrapText="1"/>
    </xf>
    <xf numFmtId="0" fontId="7" fillId="2" borderId="15" xfId="1" applyFont="1" applyFill="1" applyBorder="1" applyAlignment="1" applyProtection="1">
      <alignment horizontal="center" vertical="center" wrapText="1"/>
    </xf>
    <xf numFmtId="0" fontId="7" fillId="2" borderId="4" xfId="1" applyFont="1" applyFill="1" applyBorder="1" applyAlignment="1" applyProtection="1">
      <alignment horizontal="center" vertical="center" wrapText="1"/>
    </xf>
    <xf numFmtId="0" fontId="14" fillId="2" borderId="1" xfId="1" applyFont="1" applyFill="1" applyBorder="1" applyAlignment="1" applyProtection="1">
      <alignment horizontal="center" vertical="center" wrapText="1"/>
    </xf>
    <xf numFmtId="0" fontId="14" fillId="2" borderId="7" xfId="1" applyFont="1" applyFill="1" applyBorder="1" applyAlignment="1" applyProtection="1">
      <alignment horizontal="center" vertical="center" wrapText="1"/>
    </xf>
    <xf numFmtId="0" fontId="14" fillId="2" borderId="2" xfId="1" applyFont="1" applyFill="1" applyBorder="1" applyAlignment="1" applyProtection="1">
      <alignment horizontal="center" vertical="center" wrapText="1"/>
    </xf>
    <xf numFmtId="0" fontId="11" fillId="2" borderId="13" xfId="1" applyFont="1" applyFill="1" applyBorder="1" applyAlignment="1" applyProtection="1">
      <alignment horizontal="center" vertical="center"/>
    </xf>
    <xf numFmtId="0" fontId="11" fillId="2" borderId="0" xfId="1" applyFont="1" applyFill="1" applyBorder="1" applyAlignment="1" applyProtection="1">
      <alignment horizontal="center" vertical="center"/>
    </xf>
    <xf numFmtId="0" fontId="11" fillId="2" borderId="14" xfId="1" applyFont="1" applyFill="1" applyBorder="1" applyAlignment="1" applyProtection="1">
      <alignment horizontal="center" vertical="center"/>
    </xf>
    <xf numFmtId="0" fontId="20" fillId="2" borderId="3" xfId="1" applyFont="1" applyFill="1" applyBorder="1" applyAlignment="1" applyProtection="1">
      <alignment horizontal="center" vertical="center"/>
    </xf>
    <xf numFmtId="0" fontId="20" fillId="2" borderId="15" xfId="1" applyFont="1" applyFill="1" applyBorder="1" applyAlignment="1" applyProtection="1">
      <alignment horizontal="center" vertical="center"/>
    </xf>
    <xf numFmtId="0" fontId="20" fillId="2" borderId="4" xfId="1" applyFont="1" applyFill="1" applyBorder="1" applyAlignment="1" applyProtection="1">
      <alignment horizontal="center" vertical="center"/>
    </xf>
    <xf numFmtId="0" fontId="16" fillId="2" borderId="16" xfId="1" applyFont="1" applyFill="1" applyBorder="1" applyAlignment="1" applyProtection="1">
      <alignment horizontal="center" vertical="center" wrapText="1"/>
    </xf>
    <xf numFmtId="0" fontId="16" fillId="2" borderId="17" xfId="1" applyFont="1" applyFill="1" applyBorder="1" applyAlignment="1" applyProtection="1">
      <alignment horizontal="center" vertical="center" wrapText="1"/>
    </xf>
    <xf numFmtId="0" fontId="16" fillId="2" borderId="18" xfId="1" applyFont="1" applyFill="1" applyBorder="1" applyAlignment="1" applyProtection="1">
      <alignment horizontal="center" vertical="center" wrapText="1"/>
    </xf>
    <xf numFmtId="0" fontId="15" fillId="3" borderId="1" xfId="1" applyFont="1" applyFill="1" applyBorder="1" applyAlignment="1" applyProtection="1">
      <alignment horizontal="center" vertical="center"/>
    </xf>
    <xf numFmtId="0" fontId="15" fillId="3" borderId="7" xfId="1" applyFont="1" applyFill="1" applyBorder="1" applyAlignment="1" applyProtection="1">
      <alignment horizontal="center" vertical="center"/>
    </xf>
    <xf numFmtId="0" fontId="15" fillId="3" borderId="2" xfId="1" applyFont="1" applyFill="1" applyBorder="1" applyAlignment="1" applyProtection="1">
      <alignment horizontal="center" vertical="center"/>
    </xf>
    <xf numFmtId="0" fontId="15" fillId="3" borderId="3" xfId="1" applyFont="1" applyFill="1" applyBorder="1" applyAlignment="1" applyProtection="1">
      <alignment horizontal="center" vertical="center"/>
    </xf>
    <xf numFmtId="0" fontId="15" fillId="3" borderId="15" xfId="1" applyFont="1" applyFill="1" applyBorder="1" applyAlignment="1" applyProtection="1">
      <alignment horizontal="center" vertical="center"/>
    </xf>
    <xf numFmtId="0" fontId="15" fillId="3" borderId="4" xfId="1" applyFont="1" applyFill="1" applyBorder="1" applyAlignment="1" applyProtection="1">
      <alignment horizontal="center" vertical="center"/>
    </xf>
    <xf numFmtId="0" fontId="8" fillId="3" borderId="32" xfId="1" applyFont="1" applyFill="1" applyBorder="1" applyAlignment="1" applyProtection="1">
      <alignment horizontal="left" vertical="center"/>
    </xf>
    <xf numFmtId="0" fontId="8" fillId="3" borderId="33" xfId="1" applyFont="1" applyFill="1" applyBorder="1" applyAlignment="1" applyProtection="1">
      <alignment horizontal="left" vertical="center"/>
    </xf>
    <xf numFmtId="0" fontId="8" fillId="3" borderId="34" xfId="1" applyFont="1" applyFill="1" applyBorder="1" applyAlignment="1" applyProtection="1">
      <alignment horizontal="left" vertical="center"/>
    </xf>
    <xf numFmtId="0" fontId="16" fillId="2" borderId="26" xfId="1" applyFont="1" applyFill="1" applyBorder="1" applyAlignment="1" applyProtection="1">
      <alignment horizontal="left" vertical="center" wrapText="1"/>
    </xf>
    <xf numFmtId="0" fontId="27" fillId="2" borderId="40" xfId="1" applyFont="1" applyFill="1" applyBorder="1" applyAlignment="1" applyProtection="1">
      <alignment horizontal="left" vertical="center" wrapText="1"/>
    </xf>
    <xf numFmtId="0" fontId="9" fillId="2" borderId="12" xfId="1" applyFont="1" applyFill="1" applyBorder="1" applyAlignment="1" applyProtection="1">
      <alignment horizontal="left" vertical="center" wrapText="1"/>
    </xf>
    <xf numFmtId="0" fontId="37" fillId="2" borderId="9" xfId="1" applyFont="1" applyFill="1" applyBorder="1" applyAlignment="1" applyProtection="1">
      <alignment horizontal="left" vertical="center" wrapText="1"/>
    </xf>
    <xf numFmtId="0" fontId="7" fillId="2" borderId="22" xfId="1" applyFont="1" applyFill="1" applyBorder="1" applyAlignment="1" applyProtection="1">
      <alignment horizontal="left" vertical="center"/>
    </xf>
    <xf numFmtId="0" fontId="7" fillId="2" borderId="25" xfId="1" applyFont="1" applyFill="1" applyBorder="1" applyAlignment="1" applyProtection="1">
      <alignment horizontal="left" vertical="center"/>
    </xf>
    <xf numFmtId="0" fontId="7" fillId="2" borderId="26" xfId="1" applyFont="1" applyFill="1" applyBorder="1" applyAlignment="1" applyProtection="1">
      <alignment horizontal="left" vertical="center"/>
    </xf>
    <xf numFmtId="0" fontId="7" fillId="4" borderId="5" xfId="1" applyFont="1" applyFill="1" applyBorder="1" applyAlignment="1" applyProtection="1">
      <alignment horizontal="center" vertical="center"/>
      <protection locked="0"/>
    </xf>
    <xf numFmtId="0" fontId="16" fillId="2" borderId="19" xfId="1" applyFont="1" applyFill="1" applyBorder="1" applyAlignment="1" applyProtection="1">
      <alignment horizontal="center" vertical="center"/>
    </xf>
    <xf numFmtId="0" fontId="16" fillId="2" borderId="27" xfId="1" applyFont="1" applyFill="1" applyBorder="1" applyAlignment="1" applyProtection="1">
      <alignment horizontal="center" vertical="center"/>
    </xf>
    <xf numFmtId="0" fontId="7" fillId="2" borderId="22" xfId="2" applyFont="1" applyFill="1" applyBorder="1" applyAlignment="1" applyProtection="1">
      <alignment horizontal="left" vertical="center"/>
    </xf>
    <xf numFmtId="0" fontId="7" fillId="2" borderId="26" xfId="2" applyFont="1" applyFill="1" applyBorder="1" applyAlignment="1" applyProtection="1">
      <alignment horizontal="left" vertical="center"/>
    </xf>
    <xf numFmtId="0" fontId="7" fillId="2" borderId="35" xfId="2" applyFont="1" applyFill="1" applyBorder="1" applyAlignment="1" applyProtection="1">
      <alignment horizontal="center" vertical="center" wrapText="1"/>
    </xf>
    <xf numFmtId="0" fontId="7" fillId="2" borderId="44" xfId="2" applyFont="1" applyFill="1" applyBorder="1" applyAlignment="1" applyProtection="1">
      <alignment horizontal="center" vertical="center"/>
    </xf>
    <xf numFmtId="0" fontId="7" fillId="2" borderId="31" xfId="2" applyFont="1" applyFill="1" applyBorder="1" applyAlignment="1" applyProtection="1">
      <alignment horizontal="center" vertical="center"/>
    </xf>
    <xf numFmtId="0" fontId="7" fillId="2" borderId="19" xfId="2" applyFont="1" applyFill="1" applyBorder="1" applyAlignment="1" applyProtection="1">
      <alignment horizontal="left" vertical="center"/>
    </xf>
    <xf numFmtId="0" fontId="7" fillId="2" borderId="23" xfId="2" applyFont="1" applyFill="1" applyBorder="1" applyAlignment="1" applyProtection="1">
      <alignment horizontal="left" vertical="center"/>
    </xf>
    <xf numFmtId="0" fontId="7" fillId="4" borderId="41" xfId="2" applyFont="1" applyFill="1" applyBorder="1" applyAlignment="1" applyProtection="1">
      <alignment horizontal="left" vertical="center"/>
    </xf>
    <xf numFmtId="0" fontId="7" fillId="4" borderId="42" xfId="2"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7" fillId="2" borderId="23" xfId="1" applyFont="1" applyFill="1" applyBorder="1" applyAlignment="1" applyProtection="1">
      <alignment horizontal="left" vertical="center"/>
    </xf>
    <xf numFmtId="0" fontId="7" fillId="2" borderId="41" xfId="2" applyFont="1" applyFill="1" applyBorder="1" applyAlignment="1" applyProtection="1">
      <alignment horizontal="left" vertical="center"/>
    </xf>
    <xf numFmtId="0" fontId="7" fillId="2" borderId="42" xfId="2" applyFont="1" applyFill="1" applyBorder="1" applyAlignment="1" applyProtection="1">
      <alignment horizontal="left" vertical="center"/>
    </xf>
    <xf numFmtId="0" fontId="7" fillId="4" borderId="19" xfId="2" applyFont="1" applyFill="1" applyBorder="1" applyAlignment="1" applyProtection="1">
      <alignment horizontal="left" vertical="center"/>
    </xf>
    <xf numFmtId="0" fontId="7" fillId="4" borderId="23" xfId="2" applyFont="1" applyFill="1" applyBorder="1" applyAlignment="1" applyProtection="1">
      <alignment horizontal="left" vertical="center"/>
    </xf>
    <xf numFmtId="0" fontId="37" fillId="2" borderId="19" xfId="2" applyFont="1" applyFill="1" applyBorder="1" applyAlignment="1" applyProtection="1">
      <alignment horizontal="left" vertical="center"/>
    </xf>
    <xf numFmtId="0" fontId="37" fillId="2" borderId="23" xfId="2" applyFont="1" applyFill="1" applyBorder="1" applyAlignment="1" applyProtection="1">
      <alignment horizontal="left" vertical="center"/>
    </xf>
    <xf numFmtId="0" fontId="12" fillId="3" borderId="37" xfId="1" applyFont="1" applyFill="1" applyBorder="1" applyAlignment="1" applyProtection="1">
      <alignment horizontal="left" vertical="center"/>
    </xf>
    <xf numFmtId="0" fontId="12" fillId="3" borderId="38" xfId="1" applyFont="1" applyFill="1" applyBorder="1" applyAlignment="1" applyProtection="1">
      <alignment horizontal="left" vertical="center"/>
    </xf>
    <xf numFmtId="0" fontId="12" fillId="3" borderId="39" xfId="1" applyFont="1" applyFill="1" applyBorder="1" applyAlignment="1" applyProtection="1">
      <alignment horizontal="left" vertical="center"/>
    </xf>
    <xf numFmtId="0" fontId="7" fillId="2" borderId="21" xfId="2" applyFont="1" applyFill="1" applyBorder="1" applyAlignment="1" applyProtection="1">
      <alignment horizontal="left" vertical="center"/>
    </xf>
    <xf numFmtId="0" fontId="12" fillId="3" borderId="32" xfId="1" applyFont="1" applyFill="1" applyBorder="1" applyAlignment="1" applyProtection="1">
      <alignment horizontal="left" vertical="center"/>
    </xf>
    <xf numFmtId="0" fontId="12" fillId="3" borderId="33" xfId="1" applyFont="1" applyFill="1" applyBorder="1" applyAlignment="1" applyProtection="1">
      <alignment horizontal="left" vertical="center"/>
    </xf>
    <xf numFmtId="0" fontId="12" fillId="3" borderId="34" xfId="1" applyFont="1" applyFill="1" applyBorder="1" applyAlignment="1" applyProtection="1">
      <alignment horizontal="left" vertical="center"/>
    </xf>
    <xf numFmtId="0" fontId="16" fillId="2" borderId="19" xfId="1" applyFont="1" applyFill="1" applyBorder="1" applyAlignment="1" applyProtection="1">
      <alignment horizontal="left" vertical="center"/>
    </xf>
    <xf numFmtId="0" fontId="16" fillId="2" borderId="19" xfId="2" applyFont="1" applyFill="1" applyBorder="1" applyAlignment="1" applyProtection="1">
      <alignment horizontal="left" vertical="center"/>
    </xf>
    <xf numFmtId="0" fontId="16" fillId="2" borderId="23" xfId="2" applyFont="1" applyFill="1" applyBorder="1" applyAlignment="1" applyProtection="1">
      <alignment horizontal="left" vertical="center"/>
    </xf>
    <xf numFmtId="0" fontId="16" fillId="4" borderId="19" xfId="1" applyFont="1" applyFill="1" applyBorder="1" applyAlignment="1" applyProtection="1">
      <alignment horizontal="left" vertical="center"/>
    </xf>
    <xf numFmtId="0" fontId="16" fillId="4" borderId="23" xfId="1" applyFont="1" applyFill="1" applyBorder="1" applyAlignment="1" applyProtection="1">
      <alignment horizontal="left" vertical="center"/>
    </xf>
    <xf numFmtId="0" fontId="23" fillId="2" borderId="19" xfId="1" applyFont="1" applyFill="1" applyBorder="1" applyAlignment="1" applyProtection="1">
      <alignment horizontal="left" vertical="center"/>
    </xf>
    <xf numFmtId="0" fontId="23" fillId="2" borderId="23" xfId="1" applyFont="1" applyFill="1" applyBorder="1" applyAlignment="1" applyProtection="1">
      <alignment horizontal="left" vertical="center"/>
    </xf>
    <xf numFmtId="0" fontId="16" fillId="4" borderId="22" xfId="2" applyFont="1" applyFill="1" applyBorder="1" applyAlignment="1" applyProtection="1">
      <alignment horizontal="left" vertical="center"/>
    </xf>
    <xf numFmtId="0" fontId="16" fillId="4" borderId="26" xfId="2" applyFont="1" applyFill="1" applyBorder="1" applyAlignment="1" applyProtection="1">
      <alignment horizontal="left" vertical="center"/>
    </xf>
    <xf numFmtId="0" fontId="16" fillId="4" borderId="19" xfId="1" applyFont="1" applyFill="1" applyBorder="1" applyAlignment="1" applyProtection="1">
      <alignment horizontal="center" vertical="center"/>
    </xf>
    <xf numFmtId="0" fontId="16" fillId="4" borderId="23" xfId="1" applyFont="1" applyFill="1" applyBorder="1" applyAlignment="1" applyProtection="1">
      <alignment horizontal="center" vertical="center"/>
    </xf>
    <xf numFmtId="0" fontId="30" fillId="6" borderId="16" xfId="3" applyFont="1" applyFill="1" applyBorder="1" applyAlignment="1">
      <alignment horizontal="center" vertical="center"/>
    </xf>
    <xf numFmtId="0" fontId="30" fillId="6" borderId="17" xfId="3" applyFont="1" applyFill="1" applyBorder="1" applyAlignment="1">
      <alignment horizontal="center" vertical="center"/>
    </xf>
    <xf numFmtId="0" fontId="30" fillId="6" borderId="18" xfId="3" applyFont="1" applyFill="1" applyBorder="1" applyAlignment="1">
      <alignment horizontal="center" vertical="center"/>
    </xf>
    <xf numFmtId="0" fontId="31" fillId="2" borderId="32" xfId="3" applyFont="1" applyFill="1" applyBorder="1" applyAlignment="1">
      <alignment horizontal="center" vertical="center"/>
    </xf>
    <xf numFmtId="0" fontId="31" fillId="2" borderId="8" xfId="3" applyFont="1" applyFill="1" applyBorder="1" applyAlignment="1">
      <alignment horizontal="center" vertical="center"/>
    </xf>
    <xf numFmtId="0" fontId="30" fillId="2" borderId="46" xfId="3" applyFont="1" applyFill="1" applyBorder="1" applyAlignment="1">
      <alignment horizontal="left" vertical="center"/>
    </xf>
    <xf numFmtId="0" fontId="30" fillId="2" borderId="33" xfId="3" applyFont="1" applyFill="1" applyBorder="1" applyAlignment="1">
      <alignment horizontal="left" vertical="center"/>
    </xf>
    <xf numFmtId="0" fontId="30" fillId="2" borderId="34" xfId="3" applyFont="1" applyFill="1" applyBorder="1" applyAlignment="1">
      <alignment horizontal="left" vertical="center"/>
    </xf>
    <xf numFmtId="0" fontId="30" fillId="2" borderId="27" xfId="3" applyFont="1" applyFill="1" applyBorder="1" applyAlignment="1">
      <alignment horizontal="left" vertical="center"/>
    </xf>
    <xf numFmtId="0" fontId="30" fillId="2" borderId="9" xfId="3" applyFont="1" applyFill="1" applyBorder="1" applyAlignment="1">
      <alignment horizontal="left" vertical="center"/>
    </xf>
    <xf numFmtId="0" fontId="31" fillId="2" borderId="45" xfId="3" applyFont="1" applyFill="1" applyBorder="1" applyAlignment="1">
      <alignment horizontal="center" vertical="center"/>
    </xf>
    <xf numFmtId="0" fontId="38" fillId="5" borderId="32" xfId="3" applyFont="1" applyFill="1" applyBorder="1" applyAlignment="1">
      <alignment horizontal="center" vertical="center"/>
    </xf>
    <xf numFmtId="0" fontId="14" fillId="5" borderId="33" xfId="3" applyFont="1" applyFill="1" applyBorder="1" applyAlignment="1">
      <alignment horizontal="center" vertical="center"/>
    </xf>
    <xf numFmtId="0" fontId="14" fillId="5" borderId="34" xfId="3" applyFont="1" applyFill="1" applyBorder="1" applyAlignment="1">
      <alignment horizontal="center" vertical="center"/>
    </xf>
    <xf numFmtId="0" fontId="20" fillId="2" borderId="11" xfId="3" applyFont="1" applyFill="1" applyBorder="1" applyAlignment="1">
      <alignment horizontal="left" vertical="center"/>
    </xf>
    <xf numFmtId="0" fontId="20" fillId="2" borderId="12" xfId="3" applyFont="1" applyFill="1" applyBorder="1" applyAlignment="1">
      <alignment horizontal="left" vertical="center"/>
    </xf>
    <xf numFmtId="0" fontId="16" fillId="0" borderId="5" xfId="0" applyFont="1" applyBorder="1" applyAlignment="1">
      <alignment horizontal="left" vertical="center"/>
    </xf>
    <xf numFmtId="0" fontId="7" fillId="4" borderId="5" xfId="0" applyFont="1" applyFill="1" applyBorder="1" applyAlignment="1" applyProtection="1">
      <alignment horizontal="center" vertical="center"/>
      <protection locked="0"/>
    </xf>
    <xf numFmtId="0" fontId="16" fillId="0" borderId="5" xfId="0" applyFont="1" applyFill="1" applyBorder="1" applyAlignment="1">
      <alignment horizontal="left" vertical="center"/>
    </xf>
    <xf numFmtId="0" fontId="7" fillId="0" borderId="5" xfId="0" applyFont="1" applyBorder="1" applyAlignment="1">
      <alignment horizontal="center" vertical="center"/>
    </xf>
    <xf numFmtId="0" fontId="37" fillId="0" borderId="0" xfId="0" applyFont="1" applyAlignment="1">
      <alignment horizontal="left" vertical="center"/>
    </xf>
    <xf numFmtId="2" fontId="7" fillId="0" borderId="5" xfId="0" applyNumberFormat="1" applyFont="1" applyBorder="1" applyAlignment="1">
      <alignment horizontal="center" vertical="center"/>
    </xf>
    <xf numFmtId="0" fontId="65" fillId="0" borderId="19" xfId="0" applyFont="1" applyBorder="1" applyAlignment="1">
      <alignment horizontal="center" vertical="center"/>
    </xf>
    <xf numFmtId="0" fontId="65" fillId="0" borderId="20" xfId="0" applyFont="1" applyBorder="1" applyAlignment="1">
      <alignment horizontal="center" vertical="center"/>
    </xf>
    <xf numFmtId="0" fontId="65" fillId="0" borderId="27" xfId="0" applyFont="1" applyBorder="1" applyAlignment="1">
      <alignment horizontal="center"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7"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right"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7"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7" xfId="0" applyFont="1" applyBorder="1" applyAlignment="1">
      <alignment horizontal="center" vertical="center"/>
    </xf>
    <xf numFmtId="0" fontId="16" fillId="0" borderId="0" xfId="0" applyFont="1" applyAlignment="1">
      <alignment horizontal="center" vertical="center" wrapText="1"/>
    </xf>
    <xf numFmtId="0" fontId="29" fillId="0" borderId="0" xfId="0" applyFont="1" applyAlignment="1">
      <alignment horizontal="center" vertical="center" wrapText="1"/>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7" xfId="0" applyFont="1" applyBorder="1" applyAlignment="1">
      <alignment horizontal="center" vertical="center"/>
    </xf>
    <xf numFmtId="0" fontId="65" fillId="0" borderId="5" xfId="0" applyFont="1" applyBorder="1" applyAlignment="1">
      <alignment horizontal="center" vertical="center"/>
    </xf>
    <xf numFmtId="0" fontId="26" fillId="0" borderId="5" xfId="0" applyFont="1" applyBorder="1" applyAlignment="1">
      <alignment horizontal="center" vertical="center"/>
    </xf>
    <xf numFmtId="0" fontId="72" fillId="0" borderId="5" xfId="0" applyFont="1" applyBorder="1" applyAlignment="1">
      <alignment vertical="center"/>
    </xf>
    <xf numFmtId="0" fontId="26" fillId="0" borderId="5" xfId="0" applyFont="1" applyBorder="1" applyAlignment="1">
      <alignment vertical="center"/>
    </xf>
    <xf numFmtId="0" fontId="12" fillId="3" borderId="37" xfId="1" applyFont="1" applyFill="1" applyBorder="1" applyAlignment="1">
      <alignment horizontal="left" vertical="center"/>
    </xf>
    <xf numFmtId="0" fontId="12" fillId="3" borderId="38" xfId="1" applyFont="1" applyFill="1" applyBorder="1" applyAlignment="1">
      <alignment horizontal="left" vertical="center"/>
    </xf>
    <xf numFmtId="0" fontId="12" fillId="3" borderId="39" xfId="1" applyFont="1" applyFill="1" applyBorder="1" applyAlignment="1">
      <alignment horizontal="left" vertical="center"/>
    </xf>
  </cellXfs>
  <cellStyles count="5">
    <cellStyle name="Normal" xfId="0" builtinId="0"/>
    <cellStyle name="Normal 2" xfId="1"/>
    <cellStyle name="Normal 3" xfId="2"/>
    <cellStyle name="Normal 4" xfId="3"/>
    <cellStyle name="Normal 5" xfId="4"/>
  </cellStyles>
  <dxfs count="0"/>
  <tableStyles count="0" defaultTableStyle="TableStyleMedium2" defaultPivotStyle="PivotStyleLight16"/>
  <colors>
    <mruColors>
      <color rgb="FF65DA24"/>
      <color rgb="FFCC00CC"/>
      <color rgb="FF00CCFF"/>
      <color rgb="FF336699"/>
      <color rgb="FF66CCFF"/>
      <color rgb="FF3399FF"/>
      <color rgb="FF15C926"/>
      <color rgb="FF0000FF"/>
      <color rgb="FFFF66FF"/>
      <color rgb="FF18E6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emf"/></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image" Target="../media/image11.PNG"/><Relationship Id="rId7" Type="http://schemas.openxmlformats.org/officeDocument/2006/relationships/image" Target="../media/image14.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3.png"/><Relationship Id="rId5" Type="http://schemas.openxmlformats.org/officeDocument/2006/relationships/image" Target="../media/image8.png"/><Relationship Id="rId4" Type="http://schemas.openxmlformats.org/officeDocument/2006/relationships/image" Target="../media/image12.PNG"/><Relationship Id="rId9" Type="http://schemas.openxmlformats.org/officeDocument/2006/relationships/image" Target="../media/image1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7.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6</xdr:col>
      <xdr:colOff>58615</xdr:colOff>
      <xdr:row>14</xdr:row>
      <xdr:rowOff>7328</xdr:rowOff>
    </xdr:from>
    <xdr:to>
      <xdr:col>12</xdr:col>
      <xdr:colOff>335253</xdr:colOff>
      <xdr:row>25</xdr:row>
      <xdr:rowOff>54551</xdr:rowOff>
    </xdr:to>
    <xdr:pic>
      <xdr:nvPicPr>
        <xdr:cNvPr id="9" name="Picture 8"/>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691" r="7354" b="4802"/>
        <a:stretch/>
      </xdr:blipFill>
      <xdr:spPr bwMode="auto">
        <a:xfrm>
          <a:off x="10580077" y="3678116"/>
          <a:ext cx="3919904" cy="2469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56028</xdr:colOff>
      <xdr:row>40</xdr:row>
      <xdr:rowOff>22411</xdr:rowOff>
    </xdr:from>
    <xdr:to>
      <xdr:col>11</xdr:col>
      <xdr:colOff>560853</xdr:colOff>
      <xdr:row>51</xdr:row>
      <xdr:rowOff>156881</xdr:rowOff>
    </xdr:to>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78352" y="9356911"/>
          <a:ext cx="3530413" cy="3216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65</xdr:row>
          <xdr:rowOff>9525</xdr:rowOff>
        </xdr:from>
        <xdr:to>
          <xdr:col>10</xdr:col>
          <xdr:colOff>723900</xdr:colOff>
          <xdr:row>73</xdr:row>
          <xdr:rowOff>9525</xdr:rowOff>
        </xdr:to>
        <xdr:sp macro="" textlink="">
          <xdr:nvSpPr>
            <xdr:cNvPr id="4173" name="Object 77" hidden="1">
              <a:extLst>
                <a:ext uri="{63B3BB69-23CF-44E3-9099-C40C66FF867C}">
                  <a14:compatExt spid="_x0000_s417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6</xdr:col>
      <xdr:colOff>85725</xdr:colOff>
      <xdr:row>157</xdr:row>
      <xdr:rowOff>38100</xdr:rowOff>
    </xdr:from>
    <xdr:to>
      <xdr:col>9</xdr:col>
      <xdr:colOff>340995</xdr:colOff>
      <xdr:row>162</xdr:row>
      <xdr:rowOff>174157</xdr:rowOff>
    </xdr:to>
    <xdr:pic>
      <xdr:nvPicPr>
        <xdr:cNvPr id="4" name="Picture 3"/>
        <xdr:cNvPicPr>
          <a:picLocks noChangeAspect="1"/>
        </xdr:cNvPicPr>
      </xdr:nvPicPr>
      <xdr:blipFill>
        <a:blip xmlns:r="http://schemas.openxmlformats.org/officeDocument/2006/relationships" r:embed="rId1"/>
        <a:stretch>
          <a:fillRect/>
        </a:stretch>
      </xdr:blipFill>
      <xdr:spPr>
        <a:xfrm>
          <a:off x="12115800" y="37757100"/>
          <a:ext cx="2055495" cy="1336207"/>
        </a:xfrm>
        <a:prstGeom prst="rect">
          <a:avLst/>
        </a:prstGeom>
      </xdr:spPr>
    </xdr:pic>
    <xdr:clientData/>
  </xdr:twoCellAnchor>
  <xdr:twoCellAnchor editAs="oneCell">
    <xdr:from>
      <xdr:col>6</xdr:col>
      <xdr:colOff>44822</xdr:colOff>
      <xdr:row>82</xdr:row>
      <xdr:rowOff>63959</xdr:rowOff>
    </xdr:from>
    <xdr:to>
      <xdr:col>10</xdr:col>
      <xdr:colOff>575369</xdr:colOff>
      <xdr:row>89</xdr:row>
      <xdr:rowOff>43369</xdr:rowOff>
    </xdr:to>
    <xdr:pic>
      <xdr:nvPicPr>
        <xdr:cNvPr id="9" name="Picture 8"/>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96" b="11040"/>
        <a:stretch/>
      </xdr:blipFill>
      <xdr:spPr>
        <a:xfrm>
          <a:off x="12079940" y="19192400"/>
          <a:ext cx="2951017" cy="1716322"/>
        </a:xfrm>
        <a:prstGeom prst="rect">
          <a:avLst/>
        </a:prstGeom>
      </xdr:spPr>
    </xdr:pic>
    <xdr:clientData/>
  </xdr:twoCellAnchor>
  <xdr:twoCellAnchor>
    <xdr:from>
      <xdr:col>6</xdr:col>
      <xdr:colOff>11204</xdr:colOff>
      <xdr:row>24</xdr:row>
      <xdr:rowOff>201705</xdr:rowOff>
    </xdr:from>
    <xdr:to>
      <xdr:col>10</xdr:col>
      <xdr:colOff>246529</xdr:colOff>
      <xdr:row>28</xdr:row>
      <xdr:rowOff>280147</xdr:rowOff>
    </xdr:to>
    <xdr:grpSp>
      <xdr:nvGrpSpPr>
        <xdr:cNvPr id="11" name="Group 10"/>
        <xdr:cNvGrpSpPr/>
      </xdr:nvGrpSpPr>
      <xdr:grpSpPr>
        <a:xfrm>
          <a:off x="12046322" y="5771029"/>
          <a:ext cx="2655795" cy="1143000"/>
          <a:chOff x="-1719175" y="0"/>
          <a:chExt cx="3525060" cy="1509746"/>
        </a:xfrm>
      </xdr:grpSpPr>
      <xdr:pic>
        <xdr:nvPicPr>
          <xdr:cNvPr id="12" name="Picture 11"/>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5268" r="48290" b="56663"/>
          <a:stretch/>
        </xdr:blipFill>
        <xdr:spPr>
          <a:xfrm>
            <a:off x="-1719175" y="0"/>
            <a:ext cx="1930925" cy="1207743"/>
          </a:xfrm>
          <a:prstGeom prst="rect">
            <a:avLst/>
          </a:prstGeom>
        </xdr:spPr>
      </xdr:pic>
      <xdr:sp macro="" textlink="">
        <xdr:nvSpPr>
          <xdr:cNvPr id="13" name="TextBox 56"/>
          <xdr:cNvSpPr txBox="1"/>
        </xdr:nvSpPr>
        <xdr:spPr>
          <a:xfrm>
            <a:off x="158194" y="167818"/>
            <a:ext cx="1647691" cy="54084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l-GR" sz="1400" b="1">
                <a:solidFill>
                  <a:srgbClr val="00B050"/>
                </a:solidFill>
              </a:rPr>
              <a:t>Δ</a:t>
            </a:r>
            <a:r>
              <a:rPr lang="en-US" sz="1400" b="1">
                <a:solidFill>
                  <a:srgbClr val="00B050"/>
                </a:solidFill>
              </a:rPr>
              <a:t>V</a:t>
            </a:r>
            <a:r>
              <a:rPr lang="en-US" sz="1400" b="1" baseline="-25000">
                <a:solidFill>
                  <a:srgbClr val="00B050"/>
                </a:solidFill>
              </a:rPr>
              <a:t>o(ABM)</a:t>
            </a:r>
          </a:p>
        </xdr:txBody>
      </xdr:sp>
      <xdr:sp macro="" textlink="">
        <xdr:nvSpPr>
          <xdr:cNvPr id="14" name="TextBox 57"/>
          <xdr:cNvSpPr txBox="1"/>
        </xdr:nvSpPr>
        <xdr:spPr>
          <a:xfrm>
            <a:off x="-1554259" y="968899"/>
            <a:ext cx="1742239" cy="54084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l-GR" sz="1400" b="1">
                <a:solidFill>
                  <a:srgbClr val="7030A0"/>
                </a:solidFill>
              </a:rPr>
              <a:t>Δ</a:t>
            </a:r>
            <a:r>
              <a:rPr lang="en-US" sz="1400" b="1">
                <a:solidFill>
                  <a:srgbClr val="7030A0"/>
                </a:solidFill>
              </a:rPr>
              <a:t>i</a:t>
            </a:r>
            <a:r>
              <a:rPr lang="en-US" sz="1400" b="1" baseline="-25000">
                <a:solidFill>
                  <a:srgbClr val="7030A0"/>
                </a:solidFill>
              </a:rPr>
              <a:t>FB(ABM)</a:t>
            </a:r>
          </a:p>
        </xdr:txBody>
      </xdr:sp>
    </xdr:grpSp>
    <xdr:clientData/>
  </xdr:twoCellAnchor>
  <xdr:twoCellAnchor editAs="oneCell">
    <xdr:from>
      <xdr:col>6</xdr:col>
      <xdr:colOff>67235</xdr:colOff>
      <xdr:row>142</xdr:row>
      <xdr:rowOff>33618</xdr:rowOff>
    </xdr:from>
    <xdr:to>
      <xdr:col>10</xdr:col>
      <xdr:colOff>784753</xdr:colOff>
      <xdr:row>150</xdr:row>
      <xdr:rowOff>134471</xdr:rowOff>
    </xdr:to>
    <xdr:pic>
      <xdr:nvPicPr>
        <xdr:cNvPr id="16"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02353" y="34065883"/>
          <a:ext cx="3137988" cy="2039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448235</xdr:colOff>
      <xdr:row>84</xdr:row>
      <xdr:rowOff>75165</xdr:rowOff>
    </xdr:from>
    <xdr:to>
      <xdr:col>10</xdr:col>
      <xdr:colOff>367317</xdr:colOff>
      <xdr:row>85</xdr:row>
      <xdr:rowOff>249307</xdr:rowOff>
    </xdr:to>
    <xdr:sp macro="" textlink="">
      <xdr:nvSpPr>
        <xdr:cNvPr id="17" name="TextBox 56"/>
        <xdr:cNvSpPr txBox="1"/>
      </xdr:nvSpPr>
      <xdr:spPr>
        <a:xfrm>
          <a:off x="13088470" y="19629430"/>
          <a:ext cx="1734435" cy="40946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FFFF00"/>
              </a:solidFill>
            </a:rPr>
            <a:t>Voltage across R</a:t>
          </a:r>
          <a:r>
            <a:rPr lang="en-US" sz="1200" b="1">
              <a:solidFill>
                <a:srgbClr val="FFFF00"/>
              </a:solidFill>
            </a:rPr>
            <a:t>cs</a:t>
          </a:r>
          <a:endParaRPr lang="en-US" sz="1200" b="1" baseline="-25000">
            <a:solidFill>
              <a:srgbClr val="FFFF00"/>
            </a:solidFill>
          </a:endParaRPr>
        </a:p>
      </xdr:txBody>
    </xdr:sp>
    <xdr:clientData/>
  </xdr:twoCellAnchor>
  <xdr:twoCellAnchor>
    <xdr:from>
      <xdr:col>7</xdr:col>
      <xdr:colOff>67237</xdr:colOff>
      <xdr:row>87</xdr:row>
      <xdr:rowOff>56030</xdr:rowOff>
    </xdr:from>
    <xdr:to>
      <xdr:col>10</xdr:col>
      <xdr:colOff>291354</xdr:colOff>
      <xdr:row>88</xdr:row>
      <xdr:rowOff>230171</xdr:rowOff>
    </xdr:to>
    <xdr:sp macro="" textlink="">
      <xdr:nvSpPr>
        <xdr:cNvPr id="18" name="TextBox 56"/>
        <xdr:cNvSpPr txBox="1"/>
      </xdr:nvSpPr>
      <xdr:spPr>
        <a:xfrm>
          <a:off x="12707472" y="20439530"/>
          <a:ext cx="2039470" cy="40946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00CCFF"/>
              </a:solidFill>
            </a:rPr>
            <a:t>V</a:t>
          </a:r>
          <a:r>
            <a:rPr lang="en-US" sz="1000" b="1">
              <a:solidFill>
                <a:srgbClr val="00CCFF"/>
              </a:solidFill>
            </a:rPr>
            <a:t>GS</a:t>
          </a:r>
          <a:r>
            <a:rPr lang="en-US" sz="1400" b="1" baseline="0">
              <a:solidFill>
                <a:srgbClr val="00CCFF"/>
              </a:solidFill>
            </a:rPr>
            <a:t> </a:t>
          </a:r>
          <a:r>
            <a:rPr lang="en-US" sz="1400" b="1">
              <a:solidFill>
                <a:srgbClr val="00CCFF"/>
              </a:solidFill>
            </a:rPr>
            <a:t>of low-side MOSFET</a:t>
          </a:r>
          <a:endParaRPr lang="en-US" sz="1400" b="1" baseline="-25000">
            <a:solidFill>
              <a:srgbClr val="00CCFF"/>
            </a:solidFill>
          </a:endParaRPr>
        </a:p>
      </xdr:txBody>
    </xdr:sp>
    <xdr:clientData/>
  </xdr:twoCellAnchor>
  <xdr:twoCellAnchor>
    <xdr:from>
      <xdr:col>7</xdr:col>
      <xdr:colOff>257736</xdr:colOff>
      <xdr:row>67</xdr:row>
      <xdr:rowOff>145677</xdr:rowOff>
    </xdr:from>
    <xdr:to>
      <xdr:col>11</xdr:col>
      <xdr:colOff>67235</xdr:colOff>
      <xdr:row>69</xdr:row>
      <xdr:rowOff>84495</xdr:rowOff>
    </xdr:to>
    <xdr:sp macro="" textlink="">
      <xdr:nvSpPr>
        <xdr:cNvPr id="19" name="TextBox 56"/>
        <xdr:cNvSpPr txBox="1"/>
      </xdr:nvSpPr>
      <xdr:spPr>
        <a:xfrm>
          <a:off x="12897971" y="15833912"/>
          <a:ext cx="2420470" cy="40946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400" b="1">
              <a:solidFill>
                <a:srgbClr val="CC00CC"/>
              </a:solidFill>
            </a:rPr>
            <a:t>Current of primary winding</a:t>
          </a:r>
          <a:endParaRPr lang="en-US" sz="1200" b="1" baseline="-25000">
            <a:solidFill>
              <a:srgbClr val="CC00CC"/>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358141</xdr:colOff>
      <xdr:row>0</xdr:row>
      <xdr:rowOff>60960</xdr:rowOff>
    </xdr:from>
    <xdr:to>
      <xdr:col>5</xdr:col>
      <xdr:colOff>411480</xdr:colOff>
      <xdr:row>15</xdr:row>
      <xdr:rowOff>2212</xdr:rowOff>
    </xdr:to>
    <xdr:pic>
      <xdr:nvPicPr>
        <xdr:cNvPr id="2" name="Picture 1"/>
        <xdr:cNvPicPr>
          <a:picLocks noChangeAspect="1"/>
        </xdr:cNvPicPr>
      </xdr:nvPicPr>
      <xdr:blipFill>
        <a:blip xmlns:r="http://schemas.openxmlformats.org/officeDocument/2006/relationships" r:embed="rId1"/>
        <a:stretch>
          <a:fillRect/>
        </a:stretch>
      </xdr:blipFill>
      <xdr:spPr>
        <a:xfrm>
          <a:off x="654474" y="60960"/>
          <a:ext cx="6682739" cy="3116252"/>
        </a:xfrm>
        <a:prstGeom prst="rect">
          <a:avLst/>
        </a:prstGeom>
      </xdr:spPr>
    </xdr:pic>
    <xdr:clientData/>
  </xdr:twoCellAnchor>
  <xdr:twoCellAnchor>
    <xdr:from>
      <xdr:col>3</xdr:col>
      <xdr:colOff>175260</xdr:colOff>
      <xdr:row>0</xdr:row>
      <xdr:rowOff>53340</xdr:rowOff>
    </xdr:from>
    <xdr:to>
      <xdr:col>5</xdr:col>
      <xdr:colOff>342900</xdr:colOff>
      <xdr:row>2</xdr:row>
      <xdr:rowOff>510540</xdr:rowOff>
    </xdr:to>
    <xdr:sp macro="" textlink="">
      <xdr:nvSpPr>
        <xdr:cNvPr id="3" name="Rectangle 2"/>
        <xdr:cNvSpPr/>
      </xdr:nvSpPr>
      <xdr:spPr>
        <a:xfrm>
          <a:off x="5562600" y="53340"/>
          <a:ext cx="1219200" cy="8382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5</xdr:col>
      <xdr:colOff>464820</xdr:colOff>
      <xdr:row>1</xdr:row>
      <xdr:rowOff>152400</xdr:rowOff>
    </xdr:from>
    <xdr:to>
      <xdr:col>5</xdr:col>
      <xdr:colOff>982980</xdr:colOff>
      <xdr:row>2</xdr:row>
      <xdr:rowOff>350520</xdr:rowOff>
    </xdr:to>
    <xdr:sp macro="" textlink="">
      <xdr:nvSpPr>
        <xdr:cNvPr id="4" name="Right Arrow 3"/>
        <xdr:cNvSpPr/>
      </xdr:nvSpPr>
      <xdr:spPr>
        <a:xfrm>
          <a:off x="6903720" y="342900"/>
          <a:ext cx="518160" cy="38862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83820</xdr:colOff>
      <xdr:row>38</xdr:row>
      <xdr:rowOff>45720</xdr:rowOff>
    </xdr:from>
    <xdr:to>
      <xdr:col>8</xdr:col>
      <xdr:colOff>84203</xdr:colOff>
      <xdr:row>47</xdr:row>
      <xdr:rowOff>61110</xdr:rowOff>
    </xdr:to>
    <xdr:pic>
      <xdr:nvPicPr>
        <xdr:cNvPr id="2" name="Picture 1"/>
        <xdr:cNvPicPr>
          <a:picLocks noChangeAspect="1"/>
        </xdr:cNvPicPr>
      </xdr:nvPicPr>
      <xdr:blipFill>
        <a:blip xmlns:r="http://schemas.openxmlformats.org/officeDocument/2006/relationships" r:embed="rId1"/>
        <a:stretch>
          <a:fillRect/>
        </a:stretch>
      </xdr:blipFill>
      <xdr:spPr>
        <a:xfrm>
          <a:off x="358140" y="3284220"/>
          <a:ext cx="4419983" cy="1729890"/>
        </a:xfrm>
        <a:prstGeom prst="rect">
          <a:avLst/>
        </a:prstGeom>
        <a:ln>
          <a:solidFill>
            <a:srgbClr val="000000"/>
          </a:solidFill>
        </a:ln>
      </xdr:spPr>
    </xdr:pic>
    <xdr:clientData/>
  </xdr:twoCellAnchor>
  <xdr:twoCellAnchor editAs="oneCell">
    <xdr:from>
      <xdr:col>8</xdr:col>
      <xdr:colOff>402962</xdr:colOff>
      <xdr:row>38</xdr:row>
      <xdr:rowOff>38548</xdr:rowOff>
    </xdr:from>
    <xdr:to>
      <xdr:col>16</xdr:col>
      <xdr:colOff>319530</xdr:colOff>
      <xdr:row>47</xdr:row>
      <xdr:rowOff>31076</xdr:rowOff>
    </xdr:to>
    <xdr:pic>
      <xdr:nvPicPr>
        <xdr:cNvPr id="4" name="Picture 3"/>
        <xdr:cNvPicPr>
          <a:picLocks noChangeAspect="1"/>
        </xdr:cNvPicPr>
      </xdr:nvPicPr>
      <xdr:blipFill>
        <a:blip xmlns:r="http://schemas.openxmlformats.org/officeDocument/2006/relationships" r:embed="rId2"/>
        <a:stretch>
          <a:fillRect/>
        </a:stretch>
      </xdr:blipFill>
      <xdr:spPr>
        <a:xfrm>
          <a:off x="4792082" y="4862008"/>
          <a:ext cx="4458088" cy="1707028"/>
        </a:xfrm>
        <a:prstGeom prst="rect">
          <a:avLst/>
        </a:prstGeom>
        <a:ln>
          <a:solidFill>
            <a:srgbClr val="000000"/>
          </a:solidFill>
        </a:ln>
      </xdr:spPr>
    </xdr:pic>
    <xdr:clientData/>
  </xdr:twoCellAnchor>
  <xdr:twoCellAnchor>
    <xdr:from>
      <xdr:col>4</xdr:col>
      <xdr:colOff>266700</xdr:colOff>
      <xdr:row>36</xdr:row>
      <xdr:rowOff>83820</xdr:rowOff>
    </xdr:from>
    <xdr:to>
      <xdr:col>13</xdr:col>
      <xdr:colOff>182880</xdr:colOff>
      <xdr:row>37</xdr:row>
      <xdr:rowOff>175260</xdr:rowOff>
    </xdr:to>
    <xdr:sp macro="" textlink="">
      <xdr:nvSpPr>
        <xdr:cNvPr id="5" name="U-Turn Arrow 4"/>
        <xdr:cNvSpPr/>
      </xdr:nvSpPr>
      <xdr:spPr>
        <a:xfrm>
          <a:off x="2461260" y="4526280"/>
          <a:ext cx="4853940" cy="28194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xdr:from>
      <xdr:col>4</xdr:col>
      <xdr:colOff>228600</xdr:colOff>
      <xdr:row>47</xdr:row>
      <xdr:rowOff>99060</xdr:rowOff>
    </xdr:from>
    <xdr:to>
      <xdr:col>13</xdr:col>
      <xdr:colOff>190500</xdr:colOff>
      <xdr:row>48</xdr:row>
      <xdr:rowOff>182880</xdr:rowOff>
    </xdr:to>
    <xdr:sp macro="" textlink="">
      <xdr:nvSpPr>
        <xdr:cNvPr id="6" name="U-Turn Arrow 5"/>
        <xdr:cNvSpPr/>
      </xdr:nvSpPr>
      <xdr:spPr>
        <a:xfrm rot="10800000">
          <a:off x="2697480" y="5638800"/>
          <a:ext cx="4899660" cy="27432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editAs="oneCell">
    <xdr:from>
      <xdr:col>0</xdr:col>
      <xdr:colOff>480060</xdr:colOff>
      <xdr:row>59</xdr:row>
      <xdr:rowOff>15240</xdr:rowOff>
    </xdr:from>
    <xdr:to>
      <xdr:col>7</xdr:col>
      <xdr:colOff>53340</xdr:colOff>
      <xdr:row>68</xdr:row>
      <xdr:rowOff>83820</xdr:rowOff>
    </xdr:to>
    <xdr:pic>
      <xdr:nvPicPr>
        <xdr:cNvPr id="7" name="Picture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0060" y="8869680"/>
          <a:ext cx="3657600" cy="1783080"/>
        </a:xfrm>
        <a:prstGeom prst="rect">
          <a:avLst/>
        </a:prstGeom>
      </xdr:spPr>
    </xdr:pic>
    <xdr:clientData/>
  </xdr:twoCellAnchor>
  <xdr:twoCellAnchor editAs="oneCell">
    <xdr:from>
      <xdr:col>8</xdr:col>
      <xdr:colOff>5220</xdr:colOff>
      <xdr:row>59</xdr:row>
      <xdr:rowOff>12840</xdr:rowOff>
    </xdr:from>
    <xdr:to>
      <xdr:col>14</xdr:col>
      <xdr:colOff>294780</xdr:colOff>
      <xdr:row>68</xdr:row>
      <xdr:rowOff>81420</xdr:rowOff>
    </xdr:to>
    <xdr:pic>
      <xdr:nvPicPr>
        <xdr:cNvPr id="8" name="Picture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394340" y="8867280"/>
          <a:ext cx="3657600" cy="1783080"/>
        </a:xfrm>
        <a:prstGeom prst="rect">
          <a:avLst/>
        </a:prstGeom>
      </xdr:spPr>
    </xdr:pic>
    <xdr:clientData/>
  </xdr:twoCellAnchor>
  <xdr:twoCellAnchor>
    <xdr:from>
      <xdr:col>4</xdr:col>
      <xdr:colOff>83820</xdr:colOff>
      <xdr:row>57</xdr:row>
      <xdr:rowOff>76200</xdr:rowOff>
    </xdr:from>
    <xdr:to>
      <xdr:col>11</xdr:col>
      <xdr:colOff>312420</xdr:colOff>
      <xdr:row>58</xdr:row>
      <xdr:rowOff>167640</xdr:rowOff>
    </xdr:to>
    <xdr:sp macro="" textlink="">
      <xdr:nvSpPr>
        <xdr:cNvPr id="10" name="U-Turn Arrow 9"/>
        <xdr:cNvSpPr/>
      </xdr:nvSpPr>
      <xdr:spPr>
        <a:xfrm>
          <a:off x="2278380" y="8549640"/>
          <a:ext cx="4069080" cy="28194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xdr:from>
      <xdr:col>3</xdr:col>
      <xdr:colOff>76200</xdr:colOff>
      <xdr:row>64</xdr:row>
      <xdr:rowOff>30480</xdr:rowOff>
    </xdr:from>
    <xdr:to>
      <xdr:col>4</xdr:col>
      <xdr:colOff>3810</xdr:colOff>
      <xdr:row>65</xdr:row>
      <xdr:rowOff>163830</xdr:rowOff>
    </xdr:to>
    <xdr:sp macro="" textlink="">
      <xdr:nvSpPr>
        <xdr:cNvPr id="11" name="Oval 10"/>
        <xdr:cNvSpPr/>
      </xdr:nvSpPr>
      <xdr:spPr>
        <a:xfrm>
          <a:off x="1722120" y="9822180"/>
          <a:ext cx="476250" cy="3238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38100</xdr:colOff>
      <xdr:row>64</xdr:row>
      <xdr:rowOff>60960</xdr:rowOff>
    </xdr:from>
    <xdr:to>
      <xdr:col>10</xdr:col>
      <xdr:colOff>514350</xdr:colOff>
      <xdr:row>66</xdr:row>
      <xdr:rowOff>3810</xdr:rowOff>
    </xdr:to>
    <xdr:sp macro="" textlink="">
      <xdr:nvSpPr>
        <xdr:cNvPr id="12" name="Oval 11"/>
        <xdr:cNvSpPr/>
      </xdr:nvSpPr>
      <xdr:spPr>
        <a:xfrm>
          <a:off x="5524500" y="9852660"/>
          <a:ext cx="476250" cy="3238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160021</xdr:colOff>
      <xdr:row>2</xdr:row>
      <xdr:rowOff>175261</xdr:rowOff>
    </xdr:from>
    <xdr:to>
      <xdr:col>13</xdr:col>
      <xdr:colOff>114301</xdr:colOff>
      <xdr:row>17</xdr:row>
      <xdr:rowOff>121921</xdr:rowOff>
    </xdr:to>
    <xdr:grpSp>
      <xdr:nvGrpSpPr>
        <xdr:cNvPr id="16" name="Group 15"/>
        <xdr:cNvGrpSpPr/>
      </xdr:nvGrpSpPr>
      <xdr:grpSpPr>
        <a:xfrm>
          <a:off x="1996985" y="719547"/>
          <a:ext cx="6131923" cy="2804160"/>
          <a:chOff x="1097280" y="0"/>
          <a:chExt cx="5943931" cy="3204857"/>
        </a:xfrm>
      </xdr:grpSpPr>
      <xdr:pic>
        <xdr:nvPicPr>
          <xdr:cNvPr id="14" name="Picture 13"/>
          <xdr:cNvPicPr>
            <a:picLocks noChangeAspect="1"/>
          </xdr:cNvPicPr>
        </xdr:nvPicPr>
        <xdr:blipFill>
          <a:blip xmlns:r="http://schemas.openxmlformats.org/officeDocument/2006/relationships" r:embed="rId5"/>
          <a:stretch>
            <a:fillRect/>
          </a:stretch>
        </xdr:blipFill>
        <xdr:spPr>
          <a:xfrm>
            <a:off x="1097280" y="7620"/>
            <a:ext cx="5943931" cy="3197237"/>
          </a:xfrm>
          <a:prstGeom prst="rect">
            <a:avLst/>
          </a:prstGeom>
        </xdr:spPr>
      </xdr:pic>
      <xdr:sp macro="" textlink="">
        <xdr:nvSpPr>
          <xdr:cNvPr id="15" name="Rectangle 14"/>
          <xdr:cNvSpPr/>
        </xdr:nvSpPr>
        <xdr:spPr>
          <a:xfrm>
            <a:off x="5758069" y="0"/>
            <a:ext cx="1214562" cy="841513"/>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grpSp>
    <xdr:clientData/>
  </xdr:twoCellAnchor>
  <xdr:twoCellAnchor editAs="oneCell">
    <xdr:from>
      <xdr:col>0</xdr:col>
      <xdr:colOff>220980</xdr:colOff>
      <xdr:row>79</xdr:row>
      <xdr:rowOff>160020</xdr:rowOff>
    </xdr:from>
    <xdr:to>
      <xdr:col>6</xdr:col>
      <xdr:colOff>381302</xdr:colOff>
      <xdr:row>90</xdr:row>
      <xdr:rowOff>91616</xdr:rowOff>
    </xdr:to>
    <xdr:pic>
      <xdr:nvPicPr>
        <xdr:cNvPr id="3" name="Picture 2"/>
        <xdr:cNvPicPr>
          <a:picLocks noChangeAspect="1"/>
        </xdr:cNvPicPr>
      </xdr:nvPicPr>
      <xdr:blipFill>
        <a:blip xmlns:r="http://schemas.openxmlformats.org/officeDocument/2006/relationships" r:embed="rId6"/>
        <a:stretch>
          <a:fillRect/>
        </a:stretch>
      </xdr:blipFill>
      <xdr:spPr>
        <a:xfrm>
          <a:off x="220980" y="16078200"/>
          <a:ext cx="3482642" cy="2027096"/>
        </a:xfrm>
        <a:prstGeom prst="rect">
          <a:avLst/>
        </a:prstGeom>
      </xdr:spPr>
    </xdr:pic>
    <xdr:clientData/>
  </xdr:twoCellAnchor>
  <xdr:twoCellAnchor editAs="oneCell">
    <xdr:from>
      <xdr:col>7</xdr:col>
      <xdr:colOff>381000</xdr:colOff>
      <xdr:row>79</xdr:row>
      <xdr:rowOff>137160</xdr:rowOff>
    </xdr:from>
    <xdr:to>
      <xdr:col>13</xdr:col>
      <xdr:colOff>327947</xdr:colOff>
      <xdr:row>90</xdr:row>
      <xdr:rowOff>137342</xdr:rowOff>
    </xdr:to>
    <xdr:pic>
      <xdr:nvPicPr>
        <xdr:cNvPr id="9" name="Picture 8"/>
        <xdr:cNvPicPr>
          <a:picLocks noChangeAspect="1"/>
        </xdr:cNvPicPr>
      </xdr:nvPicPr>
      <xdr:blipFill>
        <a:blip xmlns:r="http://schemas.openxmlformats.org/officeDocument/2006/relationships" r:embed="rId7"/>
        <a:stretch>
          <a:fillRect/>
        </a:stretch>
      </xdr:blipFill>
      <xdr:spPr>
        <a:xfrm>
          <a:off x="4251960" y="16055340"/>
          <a:ext cx="3314987" cy="2095682"/>
        </a:xfrm>
        <a:prstGeom prst="rect">
          <a:avLst/>
        </a:prstGeom>
      </xdr:spPr>
    </xdr:pic>
    <xdr:clientData/>
  </xdr:twoCellAnchor>
  <xdr:twoCellAnchor editAs="oneCell">
    <xdr:from>
      <xdr:col>4</xdr:col>
      <xdr:colOff>167641</xdr:colOff>
      <xdr:row>71</xdr:row>
      <xdr:rowOff>22861</xdr:rowOff>
    </xdr:from>
    <xdr:to>
      <xdr:col>9</xdr:col>
      <xdr:colOff>392123</xdr:colOff>
      <xdr:row>76</xdr:row>
      <xdr:rowOff>38100</xdr:rowOff>
    </xdr:to>
    <xdr:pic>
      <xdr:nvPicPr>
        <xdr:cNvPr id="13" name="Picture 12"/>
        <xdr:cNvPicPr>
          <a:picLocks noChangeAspect="1"/>
        </xdr:cNvPicPr>
      </xdr:nvPicPr>
      <xdr:blipFill>
        <a:blip xmlns:r="http://schemas.openxmlformats.org/officeDocument/2006/relationships" r:embed="rId8"/>
        <a:stretch>
          <a:fillRect/>
        </a:stretch>
      </xdr:blipFill>
      <xdr:spPr>
        <a:xfrm>
          <a:off x="2392681" y="13655041"/>
          <a:ext cx="3043882" cy="2042159"/>
        </a:xfrm>
        <a:prstGeom prst="rect">
          <a:avLst/>
        </a:prstGeom>
      </xdr:spPr>
    </xdr:pic>
    <xdr:clientData/>
  </xdr:twoCellAnchor>
  <xdr:twoCellAnchor>
    <xdr:from>
      <xdr:col>2</xdr:col>
      <xdr:colOff>655320</xdr:colOff>
      <xdr:row>78</xdr:row>
      <xdr:rowOff>30480</xdr:rowOff>
    </xdr:from>
    <xdr:to>
      <xdr:col>11</xdr:col>
      <xdr:colOff>259080</xdr:colOff>
      <xdr:row>79</xdr:row>
      <xdr:rowOff>121920</xdr:rowOff>
    </xdr:to>
    <xdr:sp macro="" textlink="">
      <xdr:nvSpPr>
        <xdr:cNvPr id="18" name="U-Turn Arrow 17"/>
        <xdr:cNvSpPr/>
      </xdr:nvSpPr>
      <xdr:spPr>
        <a:xfrm>
          <a:off x="1470660" y="16443960"/>
          <a:ext cx="4930140" cy="281940"/>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solidFill>
              <a:schemeClr val="tx1"/>
            </a:solidFill>
          </a:endParaRPr>
        </a:p>
      </xdr:txBody>
    </xdr:sp>
    <xdr:clientData/>
  </xdr:twoCellAnchor>
  <xdr:twoCellAnchor editAs="oneCell">
    <xdr:from>
      <xdr:col>13</xdr:col>
      <xdr:colOff>123305</xdr:colOff>
      <xdr:row>18</xdr:row>
      <xdr:rowOff>100447</xdr:rowOff>
    </xdr:from>
    <xdr:to>
      <xdr:col>17</xdr:col>
      <xdr:colOff>138403</xdr:colOff>
      <xdr:row>25</xdr:row>
      <xdr:rowOff>24247</xdr:rowOff>
    </xdr:to>
    <xdr:pic>
      <xdr:nvPicPr>
        <xdr:cNvPr id="17" name="Picture 16"/>
        <xdr:cNvPicPr>
          <a:picLocks noChangeAspect="1"/>
        </xdr:cNvPicPr>
      </xdr:nvPicPr>
      <xdr:blipFill>
        <a:blip xmlns:r="http://schemas.openxmlformats.org/officeDocument/2006/relationships" r:embed="rId9"/>
        <a:stretch>
          <a:fillRect/>
        </a:stretch>
      </xdr:blipFill>
      <xdr:spPr>
        <a:xfrm>
          <a:off x="8089669" y="3693970"/>
          <a:ext cx="2517575" cy="12832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91439</xdr:colOff>
      <xdr:row>10</xdr:row>
      <xdr:rowOff>111673</xdr:rowOff>
    </xdr:from>
    <xdr:to>
      <xdr:col>12</xdr:col>
      <xdr:colOff>274002</xdr:colOff>
      <xdr:row>19</xdr:row>
      <xdr:rowOff>154546</xdr:rowOff>
    </xdr:to>
    <xdr:pic>
      <xdr:nvPicPr>
        <xdr:cNvPr id="2" name="Picture 1"/>
        <xdr:cNvPicPr>
          <a:picLocks noChangeAspect="1"/>
        </xdr:cNvPicPr>
      </xdr:nvPicPr>
      <xdr:blipFill>
        <a:blip xmlns:r="http://schemas.openxmlformats.org/officeDocument/2006/relationships" r:embed="rId1"/>
        <a:stretch>
          <a:fillRect/>
        </a:stretch>
      </xdr:blipFill>
      <xdr:spPr>
        <a:xfrm>
          <a:off x="3737215" y="2187466"/>
          <a:ext cx="3665483" cy="1803356"/>
        </a:xfrm>
        <a:prstGeom prst="rect">
          <a:avLst/>
        </a:prstGeom>
      </xdr:spPr>
    </xdr:pic>
    <xdr:clientData/>
  </xdr:twoCellAnchor>
</xdr:wsDr>
</file>

<file path=xl/tables/table1.xml><?xml version="1.0" encoding="utf-8"?>
<table xmlns="http://schemas.openxmlformats.org/spreadsheetml/2006/main" id="1" name="Table1" displayName="Table1" ref="C72:C75" totalsRowShown="0">
  <autoFilter ref="C72:C75"/>
  <tableColumns count="1">
    <tableColumn id="1" name="Column1"/>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package" Target="../embeddings/Dessin_Microsoft_Visio1.vsd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27"/>
  <sheetViews>
    <sheetView tabSelected="1" topLeftCell="A103" zoomScaleNormal="100" workbookViewId="0">
      <selection activeCell="C118" sqref="C118"/>
    </sheetView>
  </sheetViews>
  <sheetFormatPr baseColWidth="10" defaultColWidth="9" defaultRowHeight="15"/>
  <cols>
    <col min="1" max="1" width="5" style="85" customWidth="1"/>
    <col min="2" max="2" width="72.140625" style="85" customWidth="1"/>
    <col min="3" max="3" width="16.5703125" style="85" customWidth="1"/>
    <col min="4" max="4" width="12.5703125" style="85" customWidth="1"/>
    <col min="5" max="5" width="13.7109375" style="85" customWidth="1"/>
    <col min="6" max="6" width="37.7109375" style="85" customWidth="1"/>
    <col min="7" max="16384" width="9" style="85"/>
  </cols>
  <sheetData>
    <row r="1" spans="1:7" ht="30">
      <c r="B1" s="356" t="s">
        <v>3</v>
      </c>
      <c r="C1" s="356"/>
      <c r="D1" s="356"/>
      <c r="E1" s="356"/>
      <c r="F1" s="356"/>
    </row>
    <row r="2" spans="1:7" ht="24" customHeight="1" thickBot="1">
      <c r="B2" s="54" t="s">
        <v>356</v>
      </c>
      <c r="C2" s="194" t="s">
        <v>624</v>
      </c>
      <c r="D2" s="55"/>
      <c r="E2" s="56"/>
      <c r="F2" s="57"/>
    </row>
    <row r="3" spans="1:7" ht="15.75">
      <c r="B3" s="357" t="s">
        <v>367</v>
      </c>
      <c r="C3" s="358"/>
      <c r="D3" s="358"/>
      <c r="E3" s="358"/>
      <c r="F3" s="359"/>
    </row>
    <row r="4" spans="1:7">
      <c r="B4" s="360" t="s">
        <v>0</v>
      </c>
      <c r="C4" s="361"/>
      <c r="D4" s="361"/>
      <c r="E4" s="361"/>
      <c r="F4" s="362"/>
    </row>
    <row r="5" spans="1:7">
      <c r="A5" s="86"/>
      <c r="B5" s="360"/>
      <c r="C5" s="361"/>
      <c r="D5" s="361"/>
      <c r="E5" s="361"/>
      <c r="F5" s="362"/>
    </row>
    <row r="6" spans="1:7">
      <c r="A6" s="86"/>
      <c r="B6" s="360"/>
      <c r="C6" s="361"/>
      <c r="D6" s="361"/>
      <c r="E6" s="361"/>
      <c r="F6" s="362"/>
      <c r="G6" s="195"/>
    </row>
    <row r="7" spans="1:7" ht="15.75" thickBot="1">
      <c r="A7" s="86"/>
      <c r="B7" s="363"/>
      <c r="C7" s="364"/>
      <c r="D7" s="364"/>
      <c r="E7" s="364"/>
      <c r="F7" s="365"/>
      <c r="G7" s="195"/>
    </row>
    <row r="8" spans="1:7" ht="20.25">
      <c r="A8" s="86"/>
      <c r="B8" s="366" t="s">
        <v>619</v>
      </c>
      <c r="C8" s="367"/>
      <c r="D8" s="367"/>
      <c r="E8" s="367"/>
      <c r="F8" s="368"/>
      <c r="G8" s="195"/>
    </row>
    <row r="9" spans="1:7" ht="18">
      <c r="A9" s="86"/>
      <c r="B9" s="369" t="s">
        <v>1</v>
      </c>
      <c r="C9" s="370"/>
      <c r="D9" s="370"/>
      <c r="E9" s="370"/>
      <c r="F9" s="371"/>
      <c r="G9" s="195"/>
    </row>
    <row r="10" spans="1:7" ht="18.75" thickBot="1">
      <c r="A10" s="86"/>
      <c r="B10" s="372" t="s">
        <v>620</v>
      </c>
      <c r="C10" s="373"/>
      <c r="D10" s="373"/>
      <c r="E10" s="373"/>
      <c r="F10" s="374"/>
      <c r="G10" s="195"/>
    </row>
    <row r="11" spans="1:7" ht="55.9" customHeight="1" thickBot="1">
      <c r="A11" s="86"/>
      <c r="B11" s="375" t="s">
        <v>625</v>
      </c>
      <c r="C11" s="376"/>
      <c r="D11" s="376"/>
      <c r="E11" s="376"/>
      <c r="F11" s="377"/>
    </row>
    <row r="12" spans="1:7">
      <c r="A12" s="86"/>
      <c r="B12" s="378" t="s">
        <v>2</v>
      </c>
      <c r="C12" s="379"/>
      <c r="D12" s="379"/>
      <c r="E12" s="379"/>
      <c r="F12" s="380"/>
    </row>
    <row r="13" spans="1:7" ht="15.75" thickBot="1">
      <c r="A13" s="86"/>
      <c r="B13" s="381"/>
      <c r="C13" s="382"/>
      <c r="D13" s="382"/>
      <c r="E13" s="382"/>
      <c r="F13" s="383"/>
    </row>
    <row r="14" spans="1:7" ht="15.75" thickBot="1">
      <c r="A14" s="86"/>
      <c r="E14" s="160"/>
    </row>
    <row r="15" spans="1:7" ht="16.5" thickBot="1">
      <c r="A15" s="86"/>
      <c r="B15" s="204" t="s">
        <v>631</v>
      </c>
      <c r="C15" s="178"/>
      <c r="D15" s="184"/>
      <c r="E15" s="178"/>
      <c r="F15" s="179"/>
    </row>
    <row r="16" spans="1:7" ht="15" customHeight="1">
      <c r="A16" s="86"/>
      <c r="B16" s="200" t="s">
        <v>629</v>
      </c>
      <c r="C16" s="205" t="s">
        <v>830</v>
      </c>
      <c r="D16" s="196"/>
      <c r="E16" s="338" t="s">
        <v>630</v>
      </c>
      <c r="F16" s="339"/>
    </row>
    <row r="17" spans="1:6" ht="18.75">
      <c r="A17" s="86"/>
      <c r="B17" s="201" t="s">
        <v>680</v>
      </c>
      <c r="C17" s="205">
        <f>0.83*VINPUT_Brownin</f>
        <v>76.36</v>
      </c>
      <c r="D17" s="197" t="str">
        <f t="shared" ref="D17:D22" si="0">IF(Vin_type="AC","Vrms","V")</f>
        <v>Vrms</v>
      </c>
      <c r="E17" s="336" t="s">
        <v>677</v>
      </c>
      <c r="F17" s="337"/>
    </row>
    <row r="18" spans="1:6" ht="18.75">
      <c r="A18" s="86"/>
      <c r="B18" s="201" t="s">
        <v>681</v>
      </c>
      <c r="C18" s="205">
        <v>92</v>
      </c>
      <c r="D18" s="197" t="str">
        <f t="shared" si="0"/>
        <v>Vrms</v>
      </c>
      <c r="E18" s="336" t="s">
        <v>678</v>
      </c>
      <c r="F18" s="337"/>
    </row>
    <row r="19" spans="1:6" ht="18.75">
      <c r="A19" s="86"/>
      <c r="B19" s="201" t="s">
        <v>682</v>
      </c>
      <c r="C19" s="205">
        <v>165</v>
      </c>
      <c r="D19" s="197" t="str">
        <f t="shared" si="0"/>
        <v>Vrms</v>
      </c>
      <c r="E19" s="192" t="s">
        <v>638</v>
      </c>
      <c r="F19" s="198"/>
    </row>
    <row r="20" spans="1:6" ht="18.75">
      <c r="A20" s="86"/>
      <c r="B20" s="201" t="s">
        <v>683</v>
      </c>
      <c r="C20" s="206">
        <v>165</v>
      </c>
      <c r="D20" s="197" t="str">
        <f t="shared" si="0"/>
        <v>Vrms</v>
      </c>
      <c r="E20" s="336" t="s">
        <v>679</v>
      </c>
      <c r="F20" s="337"/>
    </row>
    <row r="21" spans="1:6" ht="18.75">
      <c r="A21" s="86"/>
      <c r="B21" s="201" t="s">
        <v>684</v>
      </c>
      <c r="C21" s="206">
        <v>92</v>
      </c>
      <c r="D21" s="197" t="str">
        <f t="shared" si="0"/>
        <v>Vrms</v>
      </c>
      <c r="E21" s="319" t="s">
        <v>638</v>
      </c>
      <c r="F21" s="339"/>
    </row>
    <row r="22" spans="1:6" ht="17.45" customHeight="1">
      <c r="A22" s="86"/>
      <c r="B22" s="201" t="s">
        <v>685</v>
      </c>
      <c r="C22" s="207">
        <v>97</v>
      </c>
      <c r="D22" s="197" t="str">
        <f t="shared" si="0"/>
        <v>Vrms</v>
      </c>
      <c r="E22" s="192" t="s">
        <v>638</v>
      </c>
      <c r="F22" s="193"/>
    </row>
    <row r="23" spans="1:6" ht="18.75">
      <c r="A23" s="86"/>
      <c r="B23" s="201" t="s">
        <v>686</v>
      </c>
      <c r="C23" s="205">
        <v>360</v>
      </c>
      <c r="D23" s="197" t="s">
        <v>5</v>
      </c>
      <c r="E23" s="319" t="s">
        <v>6</v>
      </c>
      <c r="F23" s="320"/>
    </row>
    <row r="24" spans="1:6" ht="16.149999999999999" customHeight="1">
      <c r="A24" s="86"/>
      <c r="B24" s="202" t="s">
        <v>687</v>
      </c>
      <c r="C24" s="208">
        <v>220</v>
      </c>
      <c r="D24" s="199" t="s">
        <v>15</v>
      </c>
      <c r="E24" s="342" t="s">
        <v>626</v>
      </c>
      <c r="F24" s="343"/>
    </row>
    <row r="25" spans="1:6" ht="16.149999999999999" customHeight="1">
      <c r="A25" s="86"/>
      <c r="B25" s="203" t="s">
        <v>688</v>
      </c>
      <c r="C25" s="206">
        <v>93</v>
      </c>
      <c r="D25" s="197" t="s">
        <v>670</v>
      </c>
      <c r="E25" s="319" t="s">
        <v>671</v>
      </c>
      <c r="F25" s="344"/>
    </row>
    <row r="26" spans="1:6">
      <c r="A26" s="86"/>
    </row>
    <row r="27" spans="1:6" ht="15.75" thickBot="1">
      <c r="A27" s="86"/>
      <c r="B27" s="87"/>
      <c r="C27" s="88"/>
      <c r="D27" s="87"/>
      <c r="E27" s="89"/>
      <c r="F27" s="90"/>
    </row>
    <row r="28" spans="1:6" ht="15.75">
      <c r="A28" s="86"/>
      <c r="B28" s="384" t="s">
        <v>8</v>
      </c>
      <c r="C28" s="385"/>
      <c r="D28" s="385"/>
      <c r="E28" s="385"/>
      <c r="F28" s="386"/>
    </row>
    <row r="29" spans="1:6" ht="18.75">
      <c r="A29" s="86"/>
      <c r="B29" s="209" t="s">
        <v>689</v>
      </c>
      <c r="C29" s="50">
        <v>32</v>
      </c>
      <c r="D29" s="330" t="s">
        <v>408</v>
      </c>
      <c r="E29" s="330"/>
      <c r="F29" s="331"/>
    </row>
    <row r="30" spans="1:6" ht="18.75">
      <c r="A30" s="86"/>
      <c r="B30" s="209" t="s">
        <v>690</v>
      </c>
      <c r="C30" s="50">
        <v>30</v>
      </c>
      <c r="D30" s="58" t="s">
        <v>11</v>
      </c>
      <c r="E30" s="62" t="s">
        <v>409</v>
      </c>
      <c r="F30" s="63"/>
    </row>
    <row r="31" spans="1:6" ht="18.75">
      <c r="A31" s="86"/>
      <c r="B31" s="209" t="s">
        <v>691</v>
      </c>
      <c r="C31" s="61">
        <f>PO_FL/VOUT</f>
        <v>0.9375</v>
      </c>
      <c r="D31" s="330" t="s">
        <v>9</v>
      </c>
      <c r="E31" s="340"/>
      <c r="F31" s="341"/>
    </row>
    <row r="32" spans="1:6">
      <c r="A32" s="86"/>
      <c r="B32" s="209" t="s">
        <v>12</v>
      </c>
      <c r="C32" s="50">
        <v>50</v>
      </c>
      <c r="D32" s="64" t="s">
        <v>7</v>
      </c>
      <c r="E32" s="336" t="s">
        <v>16</v>
      </c>
      <c r="F32" s="337"/>
    </row>
    <row r="33" spans="1:6">
      <c r="A33" s="86"/>
      <c r="B33" s="210" t="s">
        <v>13</v>
      </c>
      <c r="C33" s="50">
        <v>110</v>
      </c>
      <c r="D33" s="58" t="s">
        <v>7</v>
      </c>
      <c r="E33" s="345" t="s">
        <v>17</v>
      </c>
      <c r="F33" s="346"/>
    </row>
    <row r="34" spans="1:6">
      <c r="A34" s="86"/>
      <c r="B34" s="210" t="s">
        <v>14</v>
      </c>
      <c r="C34" s="50">
        <v>115</v>
      </c>
      <c r="D34" s="330" t="s">
        <v>7</v>
      </c>
      <c r="E34" s="330"/>
      <c r="F34" s="331"/>
    </row>
    <row r="35" spans="1:6" ht="18.75">
      <c r="A35" s="86"/>
      <c r="B35" s="209" t="s">
        <v>692</v>
      </c>
      <c r="C35" s="50">
        <v>40</v>
      </c>
      <c r="D35" s="58" t="s">
        <v>15</v>
      </c>
      <c r="E35" s="62" t="s">
        <v>18</v>
      </c>
      <c r="F35" s="63"/>
    </row>
    <row r="36" spans="1:6" ht="19.5" thickBot="1">
      <c r="A36" s="86"/>
      <c r="B36" s="211" t="s">
        <v>693</v>
      </c>
      <c r="C36" s="2">
        <v>200</v>
      </c>
      <c r="D36" s="59" t="s">
        <v>373</v>
      </c>
      <c r="E36" s="350" t="s">
        <v>397</v>
      </c>
      <c r="F36" s="351"/>
    </row>
    <row r="37" spans="1:6" ht="15.75" thickBot="1">
      <c r="A37" s="86"/>
      <c r="B37" s="87"/>
      <c r="C37" s="88"/>
      <c r="D37" s="87"/>
      <c r="E37" s="89"/>
      <c r="F37" s="90"/>
    </row>
    <row r="38" spans="1:6">
      <c r="A38" s="86"/>
      <c r="B38" s="353" t="s">
        <v>22</v>
      </c>
      <c r="C38" s="354"/>
      <c r="D38" s="354"/>
      <c r="E38" s="354"/>
      <c r="F38" s="355"/>
    </row>
    <row r="39" spans="1:6" ht="18.75">
      <c r="A39" s="86"/>
      <c r="B39" s="65" t="s">
        <v>694</v>
      </c>
      <c r="C39" s="53">
        <v>80</v>
      </c>
      <c r="D39" s="77" t="s">
        <v>7</v>
      </c>
      <c r="E39" s="319"/>
      <c r="F39" s="320"/>
    </row>
    <row r="40" spans="1:6" ht="18.75">
      <c r="A40" s="86"/>
      <c r="B40" s="65" t="s">
        <v>695</v>
      </c>
      <c r="C40" s="76">
        <f>IF(Vin_type="AC",((VINPUT_max*SQRT(2)+NPS*VOUT)/(Kder/100)),((VINPUT_max+NPS*VOUT)/(Kder/100)))</f>
        <v>491.68154723945082</v>
      </c>
      <c r="D40" s="77" t="s">
        <v>10</v>
      </c>
      <c r="E40" s="319"/>
      <c r="F40" s="320"/>
    </row>
    <row r="41" spans="1:6" ht="18.75">
      <c r="A41" s="86"/>
      <c r="B41" s="201" t="s">
        <v>696</v>
      </c>
      <c r="C41" s="50">
        <v>600</v>
      </c>
      <c r="D41" s="72" t="s">
        <v>10</v>
      </c>
      <c r="E41" s="352" t="s">
        <v>4</v>
      </c>
      <c r="F41" s="333"/>
    </row>
    <row r="42" spans="1:6" ht="28.15" customHeight="1">
      <c r="A42" s="86"/>
      <c r="B42" s="51" t="s">
        <v>35</v>
      </c>
      <c r="C42" s="1">
        <v>1</v>
      </c>
      <c r="D42" s="347" t="s">
        <v>396</v>
      </c>
      <c r="E42" s="348"/>
      <c r="F42" s="349"/>
    </row>
    <row r="43" spans="1:6" ht="18.75">
      <c r="A43" s="86"/>
      <c r="B43" s="51" t="s">
        <v>69</v>
      </c>
      <c r="C43" s="71">
        <f>IF(SET=0,11.2*10^11,5.6*10^11)</f>
        <v>560000000000</v>
      </c>
      <c r="D43" s="72"/>
      <c r="E43" s="336" t="s">
        <v>587</v>
      </c>
      <c r="F43" s="337"/>
    </row>
    <row r="44" spans="1:6">
      <c r="A44" s="86"/>
      <c r="B44" s="66" t="s">
        <v>32</v>
      </c>
      <c r="C44" s="73"/>
      <c r="D44" s="72"/>
      <c r="E44" s="74"/>
      <c r="F44" s="75"/>
    </row>
    <row r="45" spans="1:6">
      <c r="A45" s="86"/>
      <c r="B45" s="51" t="s">
        <v>576</v>
      </c>
      <c r="C45" s="394" t="s">
        <v>599</v>
      </c>
      <c r="D45" s="394"/>
      <c r="E45" s="74"/>
      <c r="F45" s="75"/>
    </row>
    <row r="46" spans="1:6" ht="33">
      <c r="A46" s="86"/>
      <c r="B46" s="60" t="s">
        <v>24</v>
      </c>
      <c r="C46" s="1">
        <v>0.18</v>
      </c>
      <c r="D46" s="58" t="s">
        <v>19</v>
      </c>
      <c r="E46" s="62"/>
      <c r="F46" s="63"/>
    </row>
    <row r="47" spans="1:6" ht="30" customHeight="1">
      <c r="A47" s="86"/>
      <c r="B47" s="60" t="s">
        <v>828</v>
      </c>
      <c r="C47" s="50">
        <v>5000</v>
      </c>
      <c r="D47" s="58" t="s">
        <v>26</v>
      </c>
      <c r="E47" s="62"/>
      <c r="F47" s="63"/>
    </row>
    <row r="48" spans="1:6" ht="30" customHeight="1">
      <c r="A48" s="86"/>
      <c r="B48" s="60" t="s">
        <v>827</v>
      </c>
      <c r="C48" s="50">
        <v>22</v>
      </c>
      <c r="D48" s="58" t="s">
        <v>26</v>
      </c>
      <c r="E48" s="62"/>
      <c r="F48" s="63"/>
    </row>
    <row r="49" spans="1:6" ht="18.75">
      <c r="A49" s="86"/>
      <c r="B49" s="51" t="s">
        <v>25</v>
      </c>
      <c r="C49" s="50">
        <v>22</v>
      </c>
      <c r="D49" s="58" t="s">
        <v>23</v>
      </c>
      <c r="E49" s="62"/>
      <c r="F49" s="63"/>
    </row>
    <row r="50" spans="1:6" ht="18.75">
      <c r="A50" s="86"/>
      <c r="B50" s="60" t="s">
        <v>29</v>
      </c>
      <c r="C50" s="50">
        <v>11</v>
      </c>
      <c r="D50" s="58" t="s">
        <v>30</v>
      </c>
      <c r="E50" s="69"/>
      <c r="F50" s="70"/>
    </row>
    <row r="51" spans="1:6" ht="18.75">
      <c r="A51" s="86"/>
      <c r="B51" s="60" t="s">
        <v>617</v>
      </c>
      <c r="C51" s="212">
        <f>IF(Vin_type="AC",((COSS_QH_bg*Vxh*(10^-12)+COSS_QH_sm*(10^-12)*(VIN_LOW*1.414+NPS*VOUT-Vxh))/(VIN_LOW*1.414+VOUT*NPS))*10^12,((COSS_QH_bg*Vxh*(10^-12)+COSS_QH_sm*(10^-12)*(VIN_LOW+NPS*VOUT-Vxh))/(VIN_LOW+VOUT*NPS))*10^12)</f>
        <v>390.54467993458019</v>
      </c>
      <c r="D51" s="58" t="s">
        <v>26</v>
      </c>
      <c r="E51" s="69"/>
      <c r="F51" s="70"/>
    </row>
    <row r="52" spans="1:6">
      <c r="A52" s="86"/>
      <c r="B52" s="67" t="s">
        <v>33</v>
      </c>
      <c r="C52" s="73"/>
      <c r="D52" s="58"/>
      <c r="E52" s="69"/>
      <c r="F52" s="70"/>
    </row>
    <row r="53" spans="1:6">
      <c r="A53" s="86"/>
      <c r="B53" s="51" t="s">
        <v>577</v>
      </c>
      <c r="C53" s="394" t="s">
        <v>599</v>
      </c>
      <c r="D53" s="394"/>
      <c r="E53" s="69"/>
      <c r="F53" s="70"/>
    </row>
    <row r="54" spans="1:6" ht="33">
      <c r="A54" s="86"/>
      <c r="B54" s="60" t="s">
        <v>31</v>
      </c>
      <c r="C54" s="1">
        <v>0.18</v>
      </c>
      <c r="D54" s="58" t="s">
        <v>19</v>
      </c>
      <c r="E54" s="69"/>
      <c r="F54" s="70"/>
    </row>
    <row r="55" spans="1:6" ht="18.75">
      <c r="A55" s="86"/>
      <c r="B55" s="60" t="s">
        <v>826</v>
      </c>
      <c r="C55" s="50">
        <v>5000</v>
      </c>
      <c r="D55" s="58" t="s">
        <v>26</v>
      </c>
      <c r="E55" s="69"/>
      <c r="F55" s="70"/>
    </row>
    <row r="56" spans="1:6" ht="33">
      <c r="A56" s="86"/>
      <c r="B56" s="60" t="s">
        <v>825</v>
      </c>
      <c r="C56" s="50">
        <v>22</v>
      </c>
      <c r="D56" s="58" t="s">
        <v>26</v>
      </c>
      <c r="E56" s="69"/>
      <c r="F56" s="70"/>
    </row>
    <row r="57" spans="1:6" ht="18.75">
      <c r="A57" s="86"/>
      <c r="B57" s="51" t="s">
        <v>354</v>
      </c>
      <c r="C57" s="50">
        <v>22</v>
      </c>
      <c r="D57" s="58" t="s">
        <v>23</v>
      </c>
      <c r="E57" s="69"/>
      <c r="F57" s="70"/>
    </row>
    <row r="58" spans="1:6" ht="18.75">
      <c r="A58" s="86"/>
      <c r="B58" s="60" t="s">
        <v>575</v>
      </c>
      <c r="C58" s="50">
        <v>11</v>
      </c>
      <c r="D58" s="58" t="s">
        <v>9</v>
      </c>
      <c r="E58" s="69"/>
      <c r="F58" s="70"/>
    </row>
    <row r="59" spans="1:6" ht="19.5" thickBot="1">
      <c r="A59" s="86"/>
      <c r="B59" s="68" t="s">
        <v>34</v>
      </c>
      <c r="C59" s="213">
        <f>IF(Vin_type="AC",((COSS_QL_bg*Vxl*(10^-12)+COSS_QL_sm*(10^-12)*(VIN_LOW*1.414+NPS*VOUT-Vxl))/(VIN_LOW*1.414+VOUT*NPS))*10^12,((COSS_QL_bg*Vxl*(10^-12)+COSS_QL_sm*(10^-12)*(VIN_LOW+NPS*VOUT-Vxl))/(VIN_LOW+VOUT*NPS))*10^12)</f>
        <v>390.54467993458019</v>
      </c>
      <c r="D59" s="391"/>
      <c r="E59" s="392"/>
      <c r="F59" s="393"/>
    </row>
    <row r="60" spans="1:6" ht="15.75" thickBot="1">
      <c r="A60" s="86"/>
      <c r="B60" s="91"/>
      <c r="C60" s="88"/>
      <c r="D60" s="92"/>
      <c r="E60" s="92"/>
      <c r="F60" s="92"/>
    </row>
    <row r="61" spans="1:6">
      <c r="A61" s="86"/>
      <c r="B61" s="324" t="s">
        <v>812</v>
      </c>
      <c r="C61" s="325"/>
      <c r="D61" s="325"/>
      <c r="E61" s="325"/>
      <c r="F61" s="326"/>
    </row>
    <row r="62" spans="1:6" ht="18.75">
      <c r="A62" s="86"/>
      <c r="B62" s="51" t="s">
        <v>208</v>
      </c>
      <c r="C62" s="1">
        <v>100</v>
      </c>
      <c r="D62" s="72" t="s">
        <v>84</v>
      </c>
      <c r="E62" s="74"/>
      <c r="F62" s="75"/>
    </row>
    <row r="63" spans="1:6" ht="18.75">
      <c r="A63" s="86"/>
      <c r="B63" s="51" t="s">
        <v>209</v>
      </c>
      <c r="C63" s="1">
        <v>100</v>
      </c>
      <c r="D63" s="72" t="s">
        <v>134</v>
      </c>
      <c r="E63" s="74"/>
      <c r="F63" s="75"/>
    </row>
    <row r="64" spans="1:6" ht="18.75">
      <c r="A64" s="86"/>
      <c r="B64" s="51" t="s">
        <v>245</v>
      </c>
      <c r="C64" s="1">
        <v>1</v>
      </c>
      <c r="D64" s="72" t="s">
        <v>246</v>
      </c>
      <c r="E64" s="74"/>
      <c r="F64" s="75"/>
    </row>
    <row r="65" spans="1:6" ht="18.75">
      <c r="A65" s="86"/>
      <c r="B65" s="51" t="s">
        <v>210</v>
      </c>
      <c r="C65" s="1">
        <v>10</v>
      </c>
      <c r="D65" s="72" t="s">
        <v>26</v>
      </c>
      <c r="E65" s="74"/>
      <c r="F65" s="75"/>
    </row>
    <row r="66" spans="1:6" ht="19.5" thickBot="1">
      <c r="A66" s="86"/>
      <c r="B66" s="52" t="s">
        <v>190</v>
      </c>
      <c r="C66" s="2">
        <v>0.4</v>
      </c>
      <c r="D66" s="59" t="s">
        <v>189</v>
      </c>
      <c r="E66" s="350" t="s">
        <v>372</v>
      </c>
      <c r="F66" s="387"/>
    </row>
    <row r="67" spans="1:6" ht="15.75" thickBot="1">
      <c r="A67" s="86"/>
      <c r="B67" s="91"/>
      <c r="C67" s="88"/>
      <c r="D67" s="92"/>
      <c r="E67" s="92"/>
      <c r="F67" s="92"/>
    </row>
    <row r="68" spans="1:6">
      <c r="A68" s="86"/>
      <c r="B68" s="324" t="s">
        <v>183</v>
      </c>
      <c r="C68" s="325"/>
      <c r="D68" s="325"/>
      <c r="E68" s="325"/>
      <c r="F68" s="326"/>
    </row>
    <row r="69" spans="1:6" ht="18.75">
      <c r="B69" s="65" t="s">
        <v>627</v>
      </c>
      <c r="C69" s="76">
        <f>IF(Vin_type="AC",((2*PO_FL/(η_min/100))*(0.25+ASIN(VINPUT_nom*1.44/(VIN_LOW*1.44))/6.28)/(((VIN_LOW*1.44-2)^2-(VINPUT_nom*1.44)^2)*fLINE_min)*1.25)*10^6,((2*PO_FL/(η_min/100))*(0.25+ASIN(VINPUT_nom/(VIN_LOW))/6.28)/(((VIN_LOW-2)^2-(VINPUT_nom)^2)*fLINE_min)*1.25)*10^6)</f>
        <v>71.561941632610058</v>
      </c>
      <c r="D69" s="77" t="s">
        <v>173</v>
      </c>
      <c r="E69" s="319" t="s">
        <v>814</v>
      </c>
      <c r="F69" s="320"/>
    </row>
    <row r="70" spans="1:6" ht="18.75">
      <c r="A70" s="86"/>
      <c r="B70" s="65" t="s">
        <v>697</v>
      </c>
      <c r="C70" s="53">
        <v>300</v>
      </c>
      <c r="D70" s="77" t="s">
        <v>173</v>
      </c>
      <c r="E70" s="192"/>
      <c r="F70" s="193"/>
    </row>
    <row r="71" spans="1:6" ht="18.75">
      <c r="A71" s="86"/>
      <c r="B71" s="65" t="s">
        <v>698</v>
      </c>
      <c r="C71" s="76">
        <f>IF(CBULK_act="",CBULK_rec,CBULK_act)</f>
        <v>300</v>
      </c>
      <c r="D71" s="77" t="s">
        <v>173</v>
      </c>
      <c r="E71" s="192"/>
      <c r="F71" s="193"/>
    </row>
    <row r="72" spans="1:6" ht="18.75">
      <c r="A72" s="86"/>
      <c r="B72" s="65" t="s">
        <v>699</v>
      </c>
      <c r="C72" s="76">
        <f>IF(Vin_type="AC",MROUND(VINPUT_max*1.414,100),MROUND(VINPUT_max,100))</f>
        <v>200</v>
      </c>
      <c r="D72" s="77" t="s">
        <v>23</v>
      </c>
      <c r="E72" s="192"/>
      <c r="F72" s="193"/>
    </row>
    <row r="73" spans="1:6" ht="18.75">
      <c r="A73" s="86"/>
      <c r="B73" s="65" t="s">
        <v>700</v>
      </c>
      <c r="C73" s="53">
        <v>250</v>
      </c>
      <c r="D73" s="77" t="s">
        <v>703</v>
      </c>
      <c r="E73" s="192"/>
      <c r="F73" s="193"/>
    </row>
    <row r="74" spans="1:6" ht="18.75">
      <c r="A74" s="86"/>
      <c r="B74" s="65" t="s">
        <v>701</v>
      </c>
      <c r="C74" s="53">
        <v>0.5</v>
      </c>
      <c r="D74" s="77" t="s">
        <v>23</v>
      </c>
      <c r="E74" s="192"/>
      <c r="F74" s="193"/>
    </row>
    <row r="75" spans="1:6" ht="18.75">
      <c r="A75" s="86"/>
      <c r="B75" s="201" t="s">
        <v>823</v>
      </c>
      <c r="C75" s="61">
        <f>(IOUT*(0.35/(Fcr_min*10^3)+50*10^-6)/(Vo_drop-IOUT*RCO*0.001))*10^6*1.2</f>
        <v>248.82352941176464</v>
      </c>
      <c r="D75" s="77" t="s">
        <v>173</v>
      </c>
      <c r="E75" s="319" t="s">
        <v>815</v>
      </c>
      <c r="F75" s="320"/>
    </row>
    <row r="76" spans="1:6" ht="16.149999999999999" customHeight="1">
      <c r="A76" s="86"/>
      <c r="B76" s="65" t="s">
        <v>824</v>
      </c>
      <c r="C76" s="50">
        <v>650</v>
      </c>
      <c r="D76" s="77" t="s">
        <v>173</v>
      </c>
      <c r="E76" s="315"/>
      <c r="F76" s="333"/>
    </row>
    <row r="77" spans="1:6" ht="19.5" thickBot="1">
      <c r="A77" s="86"/>
      <c r="B77" s="214" t="s">
        <v>702</v>
      </c>
      <c r="C77" s="80">
        <f>IF(COUT_act="",COUT_rec,COUT_act)</f>
        <v>650</v>
      </c>
      <c r="D77" s="59" t="s">
        <v>173</v>
      </c>
      <c r="E77" s="78"/>
      <c r="F77" s="79"/>
    </row>
    <row r="78" spans="1:6" ht="15.75" thickBot="1">
      <c r="A78" s="86"/>
      <c r="B78" s="87"/>
      <c r="C78" s="88"/>
      <c r="D78" s="87"/>
      <c r="E78" s="89"/>
      <c r="F78" s="90"/>
    </row>
    <row r="79" spans="1:6">
      <c r="A79" s="86"/>
      <c r="B79" s="324" t="s">
        <v>410</v>
      </c>
      <c r="C79" s="325"/>
      <c r="D79" s="325"/>
      <c r="E79" s="325"/>
      <c r="F79" s="326"/>
    </row>
    <row r="80" spans="1:6">
      <c r="A80" s="86"/>
      <c r="B80" s="215" t="s">
        <v>632</v>
      </c>
      <c r="C80" s="311" t="s">
        <v>633</v>
      </c>
      <c r="D80" s="216"/>
      <c r="E80" s="216"/>
      <c r="F80" s="217"/>
    </row>
    <row r="81" spans="1:7" ht="18.75">
      <c r="A81" s="86"/>
      <c r="B81" s="65" t="s">
        <v>704</v>
      </c>
      <c r="C81" s="158">
        <v>75</v>
      </c>
      <c r="D81" s="77" t="s">
        <v>7</v>
      </c>
      <c r="E81" s="319"/>
      <c r="F81" s="320"/>
    </row>
    <row r="82" spans="1:7" ht="18.75">
      <c r="A82" s="86"/>
      <c r="B82" s="65" t="s">
        <v>705</v>
      </c>
      <c r="C82" s="218">
        <f>IF(Vin_type="AC",((VINPUT_max*SQRT(2)/NPS)+VOUT*OVP*0.01)/(Kder_SR/100),((VINPUT_max/NPS)+VOUT*OVP*0.01)/(Kder_SR/100))</f>
        <v>111.29206341108285</v>
      </c>
      <c r="D82" s="77" t="s">
        <v>10</v>
      </c>
      <c r="E82" s="319"/>
      <c r="F82" s="320"/>
    </row>
    <row r="83" spans="1:7" ht="19.899999999999999" customHeight="1">
      <c r="A83" s="86"/>
      <c r="B83" s="201" t="s">
        <v>706</v>
      </c>
      <c r="C83" s="205">
        <v>150</v>
      </c>
      <c r="D83" s="197" t="s">
        <v>10</v>
      </c>
      <c r="E83" s="192"/>
      <c r="F83" s="193"/>
    </row>
    <row r="84" spans="1:7" ht="22.15" customHeight="1">
      <c r="A84" s="86"/>
      <c r="B84" s="81" t="s">
        <v>707</v>
      </c>
      <c r="C84" s="158">
        <v>1800</v>
      </c>
      <c r="D84" s="77" t="s">
        <v>26</v>
      </c>
      <c r="E84" s="192"/>
      <c r="F84" s="193"/>
    </row>
    <row r="85" spans="1:7" ht="33">
      <c r="A85" s="86"/>
      <c r="B85" s="81" t="s">
        <v>708</v>
      </c>
      <c r="C85" s="158">
        <v>1000</v>
      </c>
      <c r="D85" s="77" t="s">
        <v>26</v>
      </c>
      <c r="E85" s="192"/>
      <c r="F85" s="193"/>
    </row>
    <row r="86" spans="1:7">
      <c r="A86" s="86"/>
      <c r="B86" s="65" t="s">
        <v>355</v>
      </c>
      <c r="C86" s="158">
        <v>10</v>
      </c>
      <c r="D86" s="77" t="s">
        <v>23</v>
      </c>
      <c r="E86" s="192"/>
      <c r="F86" s="193"/>
    </row>
    <row r="87" spans="1:7" ht="18.75">
      <c r="A87" s="86"/>
      <c r="B87" s="65" t="s">
        <v>709</v>
      </c>
      <c r="C87" s="219">
        <f>IF(Vin_type="AC",(Coss_SR_bg*Vx_SR+Coss_SR_sm*(VOUT+VINPUT_max*1.414/NPS-Vx_SR))/(VOUT+VINPUT_max*1.414/NPS),(Coss_SR_bg*Vx_SR+Coss_SR_sm*(VOUT+VINPUT_max/NPS-Vx_SR))/(VOUT+VINPUT_max/NPS))</f>
        <v>1101.7009483613433</v>
      </c>
      <c r="D87" s="77" t="s">
        <v>26</v>
      </c>
      <c r="E87" s="192"/>
      <c r="F87" s="193"/>
    </row>
    <row r="88" spans="1:7" ht="18.75">
      <c r="A88" s="86"/>
      <c r="B88" s="201" t="s">
        <v>710</v>
      </c>
      <c r="C88" s="205">
        <v>204</v>
      </c>
      <c r="D88" s="197" t="s">
        <v>26</v>
      </c>
      <c r="E88" s="336" t="s">
        <v>36</v>
      </c>
      <c r="F88" s="337"/>
      <c r="G88" s="183"/>
    </row>
    <row r="89" spans="1:7" ht="18.75">
      <c r="A89" s="86"/>
      <c r="B89" s="201" t="s">
        <v>711</v>
      </c>
      <c r="C89" s="205">
        <v>0</v>
      </c>
      <c r="D89" s="197" t="s">
        <v>37</v>
      </c>
      <c r="E89" s="313" t="s">
        <v>38</v>
      </c>
      <c r="F89" s="314"/>
    </row>
    <row r="90" spans="1:7" ht="19.5" thickBot="1">
      <c r="A90" s="86"/>
      <c r="B90" s="211" t="s">
        <v>712</v>
      </c>
      <c r="C90" s="220">
        <v>224</v>
      </c>
      <c r="D90" s="197" t="s">
        <v>374</v>
      </c>
      <c r="E90" s="313" t="s">
        <v>713</v>
      </c>
      <c r="F90" s="314"/>
    </row>
    <row r="91" spans="1:7" ht="15.75" thickBot="1">
      <c r="A91" s="86"/>
      <c r="B91" s="87"/>
      <c r="C91" s="88"/>
      <c r="D91" s="87"/>
      <c r="E91" s="89"/>
      <c r="F91" s="90"/>
    </row>
    <row r="92" spans="1:7">
      <c r="A92" s="86"/>
      <c r="B92" s="324" t="s">
        <v>40</v>
      </c>
      <c r="C92" s="325"/>
      <c r="D92" s="325"/>
      <c r="E92" s="325"/>
      <c r="F92" s="326"/>
    </row>
    <row r="93" spans="1:7">
      <c r="A93" s="93"/>
      <c r="B93" s="65" t="s">
        <v>632</v>
      </c>
      <c r="C93" s="205" t="s">
        <v>623</v>
      </c>
      <c r="D93" s="77"/>
      <c r="E93" s="319"/>
      <c r="F93" s="320"/>
    </row>
    <row r="94" spans="1:7" ht="18.75">
      <c r="A94" s="93"/>
      <c r="B94" s="201" t="s">
        <v>714</v>
      </c>
      <c r="C94" s="205">
        <v>0.2</v>
      </c>
      <c r="D94" s="197" t="s">
        <v>37</v>
      </c>
      <c r="E94" s="321"/>
      <c r="F94" s="316"/>
    </row>
    <row r="95" spans="1:7" ht="18.75">
      <c r="A95" s="93"/>
      <c r="B95" s="210" t="s">
        <v>715</v>
      </c>
      <c r="C95" s="205">
        <v>1.35</v>
      </c>
      <c r="D95" s="322" t="s">
        <v>42</v>
      </c>
      <c r="E95" s="322"/>
      <c r="F95" s="323"/>
    </row>
    <row r="96" spans="1:7" ht="18.75">
      <c r="A96" s="93"/>
      <c r="B96" s="201" t="s">
        <v>716</v>
      </c>
      <c r="C96" s="205">
        <v>0.5</v>
      </c>
      <c r="D96" s="197" t="s">
        <v>10</v>
      </c>
      <c r="E96" s="313" t="s">
        <v>637</v>
      </c>
      <c r="F96" s="314"/>
    </row>
    <row r="97" spans="1:7" ht="18.75">
      <c r="A97" s="93"/>
      <c r="B97" s="201" t="s">
        <v>717</v>
      </c>
      <c r="C97" s="205">
        <v>3</v>
      </c>
      <c r="D97" s="197" t="s">
        <v>15</v>
      </c>
      <c r="E97" s="315"/>
      <c r="F97" s="316"/>
    </row>
    <row r="98" spans="1:7" ht="18.75">
      <c r="A98" s="93"/>
      <c r="B98" s="202" t="s">
        <v>718</v>
      </c>
      <c r="C98" s="208">
        <v>1.6</v>
      </c>
      <c r="D98" s="197"/>
      <c r="E98" s="315"/>
      <c r="F98" s="316"/>
    </row>
    <row r="99" spans="1:7" ht="18.75">
      <c r="A99" s="93"/>
      <c r="B99" s="202" t="s">
        <v>719</v>
      </c>
      <c r="C99" s="208">
        <v>0.4</v>
      </c>
      <c r="D99" s="197"/>
      <c r="E99" s="315"/>
      <c r="F99" s="316"/>
    </row>
    <row r="100" spans="1:7" ht="19.5" thickBot="1">
      <c r="A100" s="93"/>
      <c r="B100" s="211" t="s">
        <v>720</v>
      </c>
      <c r="C100" s="220">
        <v>0.5</v>
      </c>
      <c r="D100" s="221"/>
      <c r="E100" s="317" t="s">
        <v>622</v>
      </c>
      <c r="F100" s="318"/>
    </row>
    <row r="101" spans="1:7" ht="15.75" thickBot="1">
      <c r="A101" s="86"/>
      <c r="B101" s="87"/>
      <c r="C101" s="88"/>
      <c r="D101" s="87"/>
      <c r="E101" s="89"/>
      <c r="F101" s="90"/>
    </row>
    <row r="102" spans="1:7">
      <c r="A102" s="86"/>
      <c r="B102" s="94" t="s">
        <v>43</v>
      </c>
      <c r="C102" s="95"/>
      <c r="D102" s="95"/>
      <c r="E102" s="95"/>
      <c r="F102" s="96"/>
    </row>
    <row r="103" spans="1:7">
      <c r="A103" s="86"/>
      <c r="B103" s="65" t="s">
        <v>41</v>
      </c>
      <c r="C103" s="299" t="s">
        <v>621</v>
      </c>
      <c r="D103" s="77"/>
      <c r="E103" s="319"/>
      <c r="F103" s="320"/>
    </row>
    <row r="104" spans="1:7" ht="18.75">
      <c r="A104" s="86"/>
      <c r="B104" s="51" t="s">
        <v>56</v>
      </c>
      <c r="C104" s="50">
        <v>35</v>
      </c>
      <c r="D104" s="83" t="s">
        <v>639</v>
      </c>
      <c r="E104" s="332"/>
      <c r="F104" s="333"/>
    </row>
    <row r="105" spans="1:7" ht="18.75">
      <c r="A105" s="86"/>
      <c r="B105" s="60" t="s">
        <v>57</v>
      </c>
      <c r="C105" s="50">
        <v>2.5</v>
      </c>
      <c r="D105" s="330" t="s">
        <v>37</v>
      </c>
      <c r="E105" s="330"/>
      <c r="F105" s="331"/>
    </row>
    <row r="106" spans="1:7" ht="18.75">
      <c r="A106" s="86"/>
      <c r="B106" s="210" t="s">
        <v>813</v>
      </c>
      <c r="C106" s="50">
        <v>30</v>
      </c>
      <c r="D106" s="330" t="s">
        <v>628</v>
      </c>
      <c r="E106" s="330"/>
      <c r="F106" s="331"/>
    </row>
    <row r="107" spans="1:7" ht="19.5" thickBot="1">
      <c r="A107" s="86"/>
      <c r="B107" s="52" t="s">
        <v>265</v>
      </c>
      <c r="C107" s="2">
        <v>150</v>
      </c>
      <c r="D107" s="334" t="s">
        <v>264</v>
      </c>
      <c r="E107" s="334"/>
      <c r="F107" s="335"/>
    </row>
    <row r="108" spans="1:7" ht="15.75" thickBot="1">
      <c r="A108" s="86"/>
      <c r="B108" s="87"/>
      <c r="C108" s="88"/>
      <c r="D108" s="87"/>
      <c r="E108" s="89"/>
      <c r="F108" s="90"/>
    </row>
    <row r="109" spans="1:7">
      <c r="A109" s="86"/>
      <c r="B109" s="324" t="s">
        <v>44</v>
      </c>
      <c r="C109" s="325"/>
      <c r="D109" s="325"/>
      <c r="E109" s="325"/>
      <c r="F109" s="326"/>
    </row>
    <row r="110" spans="1:7">
      <c r="A110" s="86"/>
      <c r="B110" s="65" t="s">
        <v>41</v>
      </c>
      <c r="C110" s="50" t="s">
        <v>635</v>
      </c>
      <c r="D110" s="77"/>
      <c r="E110" s="319"/>
      <c r="F110" s="320"/>
    </row>
    <row r="111" spans="1:7" ht="18.75">
      <c r="A111" s="86"/>
      <c r="B111" s="51" t="s">
        <v>58</v>
      </c>
      <c r="C111" s="50">
        <v>1.7</v>
      </c>
      <c r="D111" s="58" t="s">
        <v>26</v>
      </c>
      <c r="E111" s="352"/>
      <c r="F111" s="333"/>
      <c r="G111" s="183"/>
    </row>
    <row r="112" spans="1:7" ht="18.75">
      <c r="A112" s="86"/>
      <c r="B112" s="60" t="s">
        <v>59</v>
      </c>
      <c r="C112" s="50">
        <v>20</v>
      </c>
      <c r="D112" s="330" t="s">
        <v>37</v>
      </c>
      <c r="E112" s="330"/>
      <c r="F112" s="331"/>
    </row>
    <row r="113" spans="1:6" ht="18.75">
      <c r="A113" s="86"/>
      <c r="B113" s="51" t="s">
        <v>211</v>
      </c>
      <c r="C113" s="181">
        <v>4</v>
      </c>
      <c r="D113" s="58" t="s">
        <v>45</v>
      </c>
      <c r="E113" s="313"/>
      <c r="F113" s="333"/>
    </row>
    <row r="114" spans="1:6" ht="18.75">
      <c r="A114" s="86"/>
      <c r="B114" s="51" t="s">
        <v>60</v>
      </c>
      <c r="C114" s="50">
        <v>28</v>
      </c>
      <c r="D114" s="58" t="s">
        <v>26</v>
      </c>
      <c r="E114" s="315"/>
      <c r="F114" s="333"/>
    </row>
    <row r="115" spans="1:6" ht="19.5" thickBot="1">
      <c r="A115" s="86"/>
      <c r="B115" s="52" t="s">
        <v>61</v>
      </c>
      <c r="C115" s="2">
        <v>2</v>
      </c>
      <c r="D115" s="59" t="s">
        <v>37</v>
      </c>
      <c r="E115" s="388"/>
      <c r="F115" s="389"/>
    </row>
    <row r="116" spans="1:6" ht="15.75" thickBot="1">
      <c r="A116" s="86"/>
      <c r="B116" s="87"/>
      <c r="C116" s="88"/>
      <c r="D116" s="87"/>
      <c r="E116" s="89"/>
      <c r="F116" s="90"/>
    </row>
    <row r="117" spans="1:6">
      <c r="A117" s="86"/>
      <c r="B117" s="324" t="s">
        <v>811</v>
      </c>
      <c r="C117" s="328"/>
      <c r="D117" s="328"/>
      <c r="E117" s="328"/>
      <c r="F117" s="329"/>
    </row>
    <row r="118" spans="1:6" ht="24.6" customHeight="1">
      <c r="A118" s="86"/>
      <c r="B118" s="65" t="s">
        <v>41</v>
      </c>
      <c r="C118" s="205" t="s">
        <v>634</v>
      </c>
      <c r="D118" s="77"/>
      <c r="E118" s="319"/>
      <c r="F118" s="320"/>
    </row>
    <row r="119" spans="1:6" ht="18.75">
      <c r="A119" s="86"/>
      <c r="B119" s="201" t="s">
        <v>721</v>
      </c>
      <c r="C119" s="205">
        <v>20</v>
      </c>
      <c r="D119" s="197" t="s">
        <v>95</v>
      </c>
      <c r="E119" s="313"/>
      <c r="F119" s="327"/>
    </row>
    <row r="120" spans="1:6" ht="19.5" thickBot="1">
      <c r="A120" s="86"/>
      <c r="B120" s="214" t="s">
        <v>722</v>
      </c>
      <c r="C120" s="220">
        <v>5</v>
      </c>
      <c r="D120" s="221" t="s">
        <v>411</v>
      </c>
      <c r="E120" s="317" t="s">
        <v>412</v>
      </c>
      <c r="F120" s="318"/>
    </row>
    <row r="121" spans="1:6" ht="15.75" thickBot="1">
      <c r="A121" s="86"/>
      <c r="B121" s="87"/>
      <c r="C121" s="88"/>
      <c r="D121" s="87"/>
      <c r="E121" s="89"/>
      <c r="F121" s="90"/>
    </row>
    <row r="122" spans="1:6">
      <c r="A122" s="86"/>
      <c r="B122" s="324" t="s">
        <v>46</v>
      </c>
      <c r="C122" s="325"/>
      <c r="D122" s="325"/>
      <c r="E122" s="325"/>
      <c r="F122" s="326"/>
    </row>
    <row r="123" spans="1:6">
      <c r="A123" s="86"/>
      <c r="B123" s="65" t="s">
        <v>41</v>
      </c>
      <c r="C123" s="299" t="s">
        <v>636</v>
      </c>
      <c r="D123" s="77"/>
      <c r="E123" s="319"/>
      <c r="F123" s="320"/>
    </row>
    <row r="124" spans="1:6" ht="18.75">
      <c r="A124" s="86"/>
      <c r="B124" s="51" t="s">
        <v>62</v>
      </c>
      <c r="C124" s="50">
        <v>4.68</v>
      </c>
      <c r="D124" s="58" t="s">
        <v>26</v>
      </c>
      <c r="E124" s="352"/>
      <c r="F124" s="333"/>
    </row>
    <row r="125" spans="1:6" ht="18.75">
      <c r="A125" s="86"/>
      <c r="B125" s="60" t="s">
        <v>63</v>
      </c>
      <c r="C125" s="50">
        <v>2</v>
      </c>
      <c r="D125" s="58" t="s">
        <v>26</v>
      </c>
      <c r="E125" s="313" t="s">
        <v>47</v>
      </c>
      <c r="F125" s="390"/>
    </row>
    <row r="126" spans="1:6" ht="18.75">
      <c r="A126" s="86"/>
      <c r="B126" s="51" t="s">
        <v>64</v>
      </c>
      <c r="C126" s="50">
        <v>1.25</v>
      </c>
      <c r="D126" s="58" t="s">
        <v>37</v>
      </c>
      <c r="E126" s="315"/>
      <c r="F126" s="333"/>
    </row>
    <row r="127" spans="1:6" ht="19.5" thickBot="1">
      <c r="B127" s="52" t="s">
        <v>65</v>
      </c>
      <c r="C127" s="2">
        <v>1.25</v>
      </c>
      <c r="D127" s="59" t="s">
        <v>39</v>
      </c>
      <c r="E127" s="388"/>
      <c r="F127" s="389"/>
    </row>
  </sheetData>
  <sheetProtection password="E9DD" sheet="1" objects="1" scenarios="1" selectLockedCells="1"/>
  <mergeCells count="75">
    <mergeCell ref="B61:F61"/>
    <mergeCell ref="E97:F97"/>
    <mergeCell ref="E126:F126"/>
    <mergeCell ref="D59:F59"/>
    <mergeCell ref="C45:D45"/>
    <mergeCell ref="C53:D53"/>
    <mergeCell ref="E89:F89"/>
    <mergeCell ref="D112:F112"/>
    <mergeCell ref="E113:F113"/>
    <mergeCell ref="E114:F114"/>
    <mergeCell ref="E115:F115"/>
    <mergeCell ref="E110:F110"/>
    <mergeCell ref="E111:F111"/>
    <mergeCell ref="B109:F109"/>
    <mergeCell ref="E88:F88"/>
    <mergeCell ref="E82:F82"/>
    <mergeCell ref="E127:F127"/>
    <mergeCell ref="E125:F125"/>
    <mergeCell ref="B122:F122"/>
    <mergeCell ref="E123:F123"/>
    <mergeCell ref="E124:F124"/>
    <mergeCell ref="B79:F79"/>
    <mergeCell ref="E66:F66"/>
    <mergeCell ref="B68:F68"/>
    <mergeCell ref="E69:F69"/>
    <mergeCell ref="E75:F75"/>
    <mergeCell ref="E76:F76"/>
    <mergeCell ref="E81:F81"/>
    <mergeCell ref="B38:F38"/>
    <mergeCell ref="B1:F1"/>
    <mergeCell ref="B3:F3"/>
    <mergeCell ref="B4:F7"/>
    <mergeCell ref="B8:F8"/>
    <mergeCell ref="B9:F9"/>
    <mergeCell ref="B10:F10"/>
    <mergeCell ref="B11:F11"/>
    <mergeCell ref="B12:F13"/>
    <mergeCell ref="E18:F18"/>
    <mergeCell ref="B28:F28"/>
    <mergeCell ref="E23:F23"/>
    <mergeCell ref="E20:F20"/>
    <mergeCell ref="E40:F40"/>
    <mergeCell ref="E43:F43"/>
    <mergeCell ref="D34:F34"/>
    <mergeCell ref="E32:F32"/>
    <mergeCell ref="E33:F33"/>
    <mergeCell ref="E39:F39"/>
    <mergeCell ref="D42:F42"/>
    <mergeCell ref="E36:F36"/>
    <mergeCell ref="E41:F41"/>
    <mergeCell ref="E17:F17"/>
    <mergeCell ref="E16:F16"/>
    <mergeCell ref="E21:F21"/>
    <mergeCell ref="D29:F29"/>
    <mergeCell ref="D31:F31"/>
    <mergeCell ref="E24:F24"/>
    <mergeCell ref="E25:F25"/>
    <mergeCell ref="E119:F119"/>
    <mergeCell ref="B117:F117"/>
    <mergeCell ref="E120:F120"/>
    <mergeCell ref="E103:F103"/>
    <mergeCell ref="D106:F106"/>
    <mergeCell ref="E104:F104"/>
    <mergeCell ref="D105:F105"/>
    <mergeCell ref="D107:F107"/>
    <mergeCell ref="E118:F118"/>
    <mergeCell ref="E90:F90"/>
    <mergeCell ref="E99:F99"/>
    <mergeCell ref="E100:F100"/>
    <mergeCell ref="E93:F93"/>
    <mergeCell ref="E94:F94"/>
    <mergeCell ref="D95:F95"/>
    <mergeCell ref="E96:F96"/>
    <mergeCell ref="E98:F98"/>
    <mergeCell ref="B92:F92"/>
  </mergeCells>
  <phoneticPr fontId="25" type="noConversion"/>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'Hide Calculate'!$C$73:$C$74</xm:f>
          </x14:formula1>
          <xm:sqref>C16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F303"/>
  <sheetViews>
    <sheetView topLeftCell="A46" zoomScale="85" zoomScaleNormal="85" workbookViewId="0">
      <selection activeCell="D199" sqref="D199"/>
    </sheetView>
  </sheetViews>
  <sheetFormatPr baseColWidth="10" defaultColWidth="9" defaultRowHeight="15"/>
  <cols>
    <col min="1" max="1" width="4.42578125" style="85" customWidth="1"/>
    <col min="2" max="2" width="60.28515625" style="85" customWidth="1"/>
    <col min="3" max="3" width="18.28515625" style="154" customWidth="1"/>
    <col min="4" max="4" width="14.42578125" style="155" customWidth="1"/>
    <col min="5" max="5" width="9" style="85" customWidth="1"/>
    <col min="6" max="6" width="74" style="85" customWidth="1"/>
    <col min="7" max="10" width="9" style="85"/>
    <col min="11" max="11" width="12" style="85" bestFit="1" customWidth="1"/>
    <col min="12" max="13" width="9" style="85"/>
    <col min="14" max="14" width="12" style="85" bestFit="1" customWidth="1"/>
    <col min="15" max="16384" width="9" style="85"/>
  </cols>
  <sheetData>
    <row r="1" spans="1:6" ht="15.75" thickBot="1">
      <c r="B1" s="87"/>
      <c r="C1" s="97"/>
      <c r="D1" s="88"/>
      <c r="E1" s="89"/>
      <c r="F1" s="90"/>
    </row>
    <row r="2" spans="1:6">
      <c r="A2" s="86"/>
      <c r="B2" s="418" t="s">
        <v>75</v>
      </c>
      <c r="C2" s="419"/>
      <c r="D2" s="419"/>
      <c r="E2" s="419"/>
      <c r="F2" s="420"/>
    </row>
    <row r="3" spans="1:6" ht="18.75">
      <c r="A3" s="98"/>
      <c r="B3" s="201" t="s">
        <v>723</v>
      </c>
      <c r="C3" s="226" t="s">
        <v>748</v>
      </c>
      <c r="D3" s="242">
        <v>9.8000000000000007</v>
      </c>
      <c r="E3" s="322" t="s">
        <v>640</v>
      </c>
      <c r="F3" s="323"/>
    </row>
    <row r="4" spans="1:6" ht="18.75">
      <c r="A4" s="98"/>
      <c r="B4" s="201" t="s">
        <v>413</v>
      </c>
      <c r="C4" s="226" t="s">
        <v>749</v>
      </c>
      <c r="D4" s="242">
        <v>17.5</v>
      </c>
      <c r="E4" s="322" t="s">
        <v>640</v>
      </c>
      <c r="F4" s="323"/>
    </row>
    <row r="5" spans="1:6" ht="18.75">
      <c r="A5" s="98"/>
      <c r="B5" s="201" t="s">
        <v>414</v>
      </c>
      <c r="C5" s="226" t="s">
        <v>750</v>
      </c>
      <c r="D5" s="242">
        <v>34</v>
      </c>
      <c r="E5" s="322" t="s">
        <v>641</v>
      </c>
      <c r="F5" s="323"/>
    </row>
    <row r="6" spans="1:6" ht="18.75">
      <c r="A6" s="98"/>
      <c r="B6" s="210" t="s">
        <v>415</v>
      </c>
      <c r="C6" s="226" t="s">
        <v>751</v>
      </c>
      <c r="D6" s="242">
        <v>1</v>
      </c>
      <c r="E6" s="322" t="s">
        <v>640</v>
      </c>
      <c r="F6" s="323"/>
    </row>
    <row r="7" spans="1:6" ht="18.75">
      <c r="A7" s="98"/>
      <c r="B7" s="201" t="s">
        <v>416</v>
      </c>
      <c r="C7" s="226" t="s">
        <v>752</v>
      </c>
      <c r="D7" s="242">
        <v>365</v>
      </c>
      <c r="E7" s="421" t="s">
        <v>642</v>
      </c>
      <c r="F7" s="320"/>
    </row>
    <row r="8" spans="1:6" ht="18.75">
      <c r="A8" s="86"/>
      <c r="B8" s="201" t="s">
        <v>417</v>
      </c>
      <c r="C8" s="226" t="s">
        <v>753</v>
      </c>
      <c r="D8" s="288">
        <v>4.5</v>
      </c>
      <c r="E8" s="421" t="s">
        <v>640</v>
      </c>
      <c r="F8" s="320"/>
    </row>
    <row r="9" spans="1:6" ht="18.75">
      <c r="A9" s="86"/>
      <c r="B9" s="210" t="s">
        <v>418</v>
      </c>
      <c r="C9" s="226" t="s">
        <v>754</v>
      </c>
      <c r="D9" s="243">
        <v>15</v>
      </c>
      <c r="E9" s="197" t="s">
        <v>602</v>
      </c>
      <c r="F9" s="193" t="s">
        <v>603</v>
      </c>
    </row>
    <row r="10" spans="1:6" ht="18.75">
      <c r="A10" s="86"/>
      <c r="B10" s="202" t="s">
        <v>419</v>
      </c>
      <c r="C10" s="244" t="s">
        <v>755</v>
      </c>
      <c r="D10" s="245">
        <v>0.8</v>
      </c>
      <c r="E10" s="421" t="s">
        <v>640</v>
      </c>
      <c r="F10" s="320"/>
    </row>
    <row r="11" spans="1:6" ht="18.75">
      <c r="A11" s="86"/>
      <c r="B11" s="202" t="s">
        <v>420</v>
      </c>
      <c r="C11" s="244" t="s">
        <v>756</v>
      </c>
      <c r="D11" s="245">
        <v>0.6</v>
      </c>
      <c r="E11" s="421" t="s">
        <v>640</v>
      </c>
      <c r="F11" s="320"/>
    </row>
    <row r="12" spans="1:6" ht="18.75">
      <c r="A12" s="86"/>
      <c r="B12" s="202" t="s">
        <v>420</v>
      </c>
      <c r="C12" s="244" t="s">
        <v>757</v>
      </c>
      <c r="D12" s="245">
        <v>0.42499999999999999</v>
      </c>
      <c r="E12" s="246" t="s">
        <v>640</v>
      </c>
      <c r="F12" s="247"/>
    </row>
    <row r="13" spans="1:6" ht="18.75">
      <c r="A13" s="86"/>
      <c r="B13" s="202" t="s">
        <v>421</v>
      </c>
      <c r="C13" s="244" t="s">
        <v>758</v>
      </c>
      <c r="D13" s="245">
        <v>5</v>
      </c>
      <c r="E13" s="246" t="s">
        <v>604</v>
      </c>
      <c r="F13" s="247"/>
    </row>
    <row r="14" spans="1:6" ht="18.75">
      <c r="A14" s="86"/>
      <c r="B14" s="202" t="s">
        <v>422</v>
      </c>
      <c r="C14" s="244" t="s">
        <v>759</v>
      </c>
      <c r="D14" s="245">
        <v>0.25</v>
      </c>
      <c r="E14" s="246" t="s">
        <v>605</v>
      </c>
      <c r="F14" s="247" t="s">
        <v>603</v>
      </c>
    </row>
    <row r="15" spans="1:6" ht="18.75">
      <c r="A15" s="86"/>
      <c r="B15" s="202" t="s">
        <v>423</v>
      </c>
      <c r="C15" s="244" t="s">
        <v>760</v>
      </c>
      <c r="D15" s="245">
        <v>25</v>
      </c>
      <c r="E15" s="246" t="s">
        <v>606</v>
      </c>
      <c r="F15" s="247" t="s">
        <v>603</v>
      </c>
    </row>
    <row r="16" spans="1:6" ht="18.75">
      <c r="A16" s="86"/>
      <c r="B16" s="202" t="s">
        <v>819</v>
      </c>
      <c r="C16" s="244" t="s">
        <v>761</v>
      </c>
      <c r="D16" s="248">
        <f>5*10^9</f>
        <v>5000000000</v>
      </c>
      <c r="E16" s="246" t="s">
        <v>762</v>
      </c>
      <c r="F16" s="247" t="s">
        <v>603</v>
      </c>
    </row>
    <row r="17" spans="1:6" ht="18.75">
      <c r="A17" s="86"/>
      <c r="B17" s="202" t="s">
        <v>763</v>
      </c>
      <c r="C17" s="244" t="s">
        <v>764</v>
      </c>
      <c r="D17" s="245">
        <v>4</v>
      </c>
      <c r="E17" s="246" t="s">
        <v>607</v>
      </c>
      <c r="F17" s="247" t="s">
        <v>603</v>
      </c>
    </row>
    <row r="18" spans="1:6" ht="18.75">
      <c r="A18" s="86"/>
      <c r="B18" s="201" t="s">
        <v>424</v>
      </c>
      <c r="C18" s="244" t="s">
        <v>765</v>
      </c>
      <c r="D18" s="245">
        <v>10.5</v>
      </c>
      <c r="E18" s="246" t="s">
        <v>608</v>
      </c>
      <c r="F18" s="247" t="s">
        <v>603</v>
      </c>
    </row>
    <row r="19" spans="1:6" ht="18.75">
      <c r="A19" s="86"/>
      <c r="B19" s="201" t="s">
        <v>425</v>
      </c>
      <c r="C19" s="244" t="s">
        <v>766</v>
      </c>
      <c r="D19" s="245">
        <v>2.5</v>
      </c>
      <c r="E19" s="246" t="s">
        <v>609</v>
      </c>
      <c r="F19" s="247" t="s">
        <v>603</v>
      </c>
    </row>
    <row r="20" spans="1:6" ht="18.75">
      <c r="A20" s="86"/>
      <c r="B20" s="202" t="s">
        <v>426</v>
      </c>
      <c r="C20" s="244" t="s">
        <v>767</v>
      </c>
      <c r="D20" s="245">
        <v>0.4</v>
      </c>
      <c r="E20" s="246" t="s">
        <v>609</v>
      </c>
      <c r="F20" s="247" t="s">
        <v>603</v>
      </c>
    </row>
    <row r="21" spans="1:6" ht="18.75">
      <c r="A21" s="86"/>
      <c r="B21" s="202" t="s">
        <v>427</v>
      </c>
      <c r="C21" s="244" t="s">
        <v>768</v>
      </c>
      <c r="D21" s="245">
        <v>2.2000000000000002</v>
      </c>
      <c r="E21" s="233" t="s">
        <v>610</v>
      </c>
      <c r="F21" s="249"/>
    </row>
    <row r="22" spans="1:6" ht="18.75">
      <c r="A22" s="86"/>
      <c r="B22" s="202" t="s">
        <v>428</v>
      </c>
      <c r="C22" s="244" t="s">
        <v>769</v>
      </c>
      <c r="D22" s="245">
        <v>90</v>
      </c>
      <c r="E22" s="421" t="s">
        <v>770</v>
      </c>
      <c r="F22" s="320"/>
    </row>
    <row r="23" spans="1:6" ht="18.75">
      <c r="A23" s="86"/>
      <c r="B23" s="202" t="s">
        <v>771</v>
      </c>
      <c r="C23" s="244" t="s">
        <v>772</v>
      </c>
      <c r="D23" s="245">
        <v>1</v>
      </c>
      <c r="E23" s="246" t="s">
        <v>611</v>
      </c>
      <c r="F23" s="247"/>
    </row>
    <row r="24" spans="1:6" ht="18.75">
      <c r="A24" s="86"/>
      <c r="B24" s="202" t="s">
        <v>429</v>
      </c>
      <c r="C24" s="244" t="s">
        <v>773</v>
      </c>
      <c r="D24" s="245">
        <v>4.3</v>
      </c>
      <c r="E24" s="246" t="s">
        <v>10</v>
      </c>
      <c r="F24" s="247" t="s">
        <v>603</v>
      </c>
    </row>
    <row r="25" spans="1:6" ht="18.75">
      <c r="A25" s="86"/>
      <c r="B25" s="202" t="s">
        <v>430</v>
      </c>
      <c r="C25" s="244" t="s">
        <v>774</v>
      </c>
      <c r="D25" s="248">
        <v>8000</v>
      </c>
      <c r="E25" s="422" t="s">
        <v>775</v>
      </c>
      <c r="F25" s="423"/>
    </row>
    <row r="26" spans="1:6" ht="18.75">
      <c r="A26" s="86"/>
      <c r="B26" s="202" t="s">
        <v>431</v>
      </c>
      <c r="C26" s="244" t="s">
        <v>776</v>
      </c>
      <c r="D26" s="245">
        <v>75</v>
      </c>
      <c r="E26" s="233" t="s">
        <v>612</v>
      </c>
      <c r="F26" s="247" t="s">
        <v>603</v>
      </c>
    </row>
    <row r="27" spans="1:6" ht="18.75">
      <c r="A27" s="86"/>
      <c r="B27" s="235" t="s">
        <v>821</v>
      </c>
      <c r="C27" s="300" t="s">
        <v>777</v>
      </c>
      <c r="D27" s="310">
        <v>100</v>
      </c>
      <c r="E27" s="301" t="s">
        <v>613</v>
      </c>
      <c r="F27" s="302" t="s">
        <v>822</v>
      </c>
    </row>
    <row r="28" spans="1:6" ht="28.5">
      <c r="A28" s="86"/>
      <c r="B28" s="251" t="s">
        <v>778</v>
      </c>
      <c r="C28" s="244" t="s">
        <v>779</v>
      </c>
      <c r="D28" s="245">
        <v>25</v>
      </c>
      <c r="E28" s="250" t="s">
        <v>614</v>
      </c>
      <c r="F28" s="247" t="s">
        <v>603</v>
      </c>
    </row>
    <row r="29" spans="1:6" ht="28.5">
      <c r="A29" s="86"/>
      <c r="B29" s="251" t="s">
        <v>544</v>
      </c>
      <c r="C29" s="244" t="s">
        <v>780</v>
      </c>
      <c r="D29" s="245">
        <v>34</v>
      </c>
      <c r="E29" s="250" t="s">
        <v>615</v>
      </c>
      <c r="F29" s="247" t="s">
        <v>603</v>
      </c>
    </row>
    <row r="30" spans="1:6" ht="19.5" thickBot="1">
      <c r="A30" s="86"/>
      <c r="B30" s="251" t="s">
        <v>547</v>
      </c>
      <c r="C30" s="244" t="s">
        <v>781</v>
      </c>
      <c r="D30" s="252">
        <v>1.5</v>
      </c>
      <c r="E30" s="253" t="s">
        <v>616</v>
      </c>
      <c r="F30" s="254" t="s">
        <v>603</v>
      </c>
    </row>
    <row r="31" spans="1:6">
      <c r="A31" s="86"/>
      <c r="B31" s="303" t="s">
        <v>546</v>
      </c>
      <c r="C31" s="300" t="s">
        <v>782</v>
      </c>
      <c r="D31" s="207">
        <v>93</v>
      </c>
      <c r="E31" s="301" t="s">
        <v>545</v>
      </c>
      <c r="F31" s="304"/>
    </row>
    <row r="32" spans="1:6" ht="18.75">
      <c r="A32" s="86"/>
      <c r="B32" s="303" t="s">
        <v>664</v>
      </c>
      <c r="C32" s="300" t="s">
        <v>783</v>
      </c>
      <c r="D32" s="310">
        <v>6</v>
      </c>
      <c r="E32" s="301" t="s">
        <v>545</v>
      </c>
      <c r="F32" s="304"/>
    </row>
    <row r="33" spans="1:6" ht="18.75">
      <c r="A33" s="86"/>
      <c r="B33" s="235" t="s">
        <v>784</v>
      </c>
      <c r="C33" s="300" t="s">
        <v>785</v>
      </c>
      <c r="D33" s="208">
        <v>3</v>
      </c>
      <c r="E33" s="305" t="s">
        <v>560</v>
      </c>
      <c r="F33" s="302"/>
    </row>
    <row r="34" spans="1:6">
      <c r="A34" s="86"/>
      <c r="B34" s="306" t="s">
        <v>661</v>
      </c>
      <c r="C34" s="146" t="s">
        <v>786</v>
      </c>
      <c r="D34" s="206">
        <v>30</v>
      </c>
      <c r="E34" s="307" t="s">
        <v>10</v>
      </c>
      <c r="F34" s="308" t="s">
        <v>663</v>
      </c>
    </row>
    <row r="35" spans="1:6">
      <c r="A35" s="86"/>
      <c r="B35" s="306" t="s">
        <v>662</v>
      </c>
      <c r="C35" s="146" t="s">
        <v>787</v>
      </c>
      <c r="D35" s="206">
        <v>20</v>
      </c>
      <c r="E35" s="309" t="s">
        <v>10</v>
      </c>
      <c r="F35" s="308"/>
    </row>
    <row r="36" spans="1:6" ht="15.75" thickBot="1">
      <c r="A36" s="86"/>
      <c r="B36" s="87"/>
      <c r="C36" s="97"/>
      <c r="D36" s="88"/>
      <c r="E36" s="89"/>
      <c r="F36" s="90"/>
    </row>
    <row r="37" spans="1:6" ht="18" customHeight="1">
      <c r="A37" s="86"/>
      <c r="B37" s="414" t="s">
        <v>20</v>
      </c>
      <c r="C37" s="415"/>
      <c r="D37" s="415"/>
      <c r="E37" s="415"/>
      <c r="F37" s="416"/>
    </row>
    <row r="38" spans="1:6" ht="19.5">
      <c r="A38" s="86"/>
      <c r="B38" s="201" t="s">
        <v>432</v>
      </c>
      <c r="C38" s="105" t="s">
        <v>665</v>
      </c>
      <c r="D38" s="218">
        <f>IF(Vin_type="AC",((VINPUT_max*SQRT(2))/(VSR_actual*0.9-(VOUT+Vf_SR)*OVP/100-ΔVSPIKE)),((VINPUT_max)/(VSR_actual*0.9-(VOUT+Vf_SR)*OVP/100-ΔVSPIKE)))</f>
        <v>3.4214844250961978</v>
      </c>
      <c r="E38" s="426"/>
      <c r="F38" s="427"/>
    </row>
    <row r="39" spans="1:6" ht="19.5">
      <c r="A39" s="86"/>
      <c r="B39" s="201" t="s">
        <v>433</v>
      </c>
      <c r="C39" s="226" t="s">
        <v>666</v>
      </c>
      <c r="D39" s="218">
        <f>IF(Vin_type="AC",((VDS_actual*0.9-VINPUT_max*SQRT(2)-ΔVCLAMP)/((VOUT+Vf_SR)*OVP/100)+Vf_SR),((VDS_actual*0.9-VINPUT_max-ΔVCLAMP)/((VOUT+Vf_SR)*OVP/100)+Vf_SR))</f>
        <v>7.7895315817510689</v>
      </c>
      <c r="E39" s="426"/>
      <c r="F39" s="427"/>
    </row>
    <row r="40" spans="1:6" ht="18.75">
      <c r="A40" s="86"/>
      <c r="B40" s="145" t="s">
        <v>293</v>
      </c>
      <c r="C40" s="146" t="s">
        <v>725</v>
      </c>
      <c r="D40" s="158">
        <v>5</v>
      </c>
      <c r="E40" s="430" t="s">
        <v>726</v>
      </c>
      <c r="F40" s="431"/>
    </row>
    <row r="41" spans="1:6" ht="18.75">
      <c r="A41" s="86"/>
      <c r="B41" s="145" t="s">
        <v>434</v>
      </c>
      <c r="C41" s="146" t="s">
        <v>727</v>
      </c>
      <c r="D41" s="158">
        <v>21</v>
      </c>
      <c r="E41" s="227"/>
      <c r="F41" s="228" t="s">
        <v>667</v>
      </c>
    </row>
    <row r="42" spans="1:6" ht="18.75">
      <c r="A42" s="86"/>
      <c r="B42" s="201" t="s">
        <v>588</v>
      </c>
      <c r="C42" s="226" t="s">
        <v>728</v>
      </c>
      <c r="D42" s="218">
        <f>NP/NPS</f>
        <v>4.2</v>
      </c>
      <c r="E42" s="229"/>
      <c r="F42" s="230"/>
    </row>
    <row r="43" spans="1:6" ht="18.75">
      <c r="A43" s="86"/>
      <c r="B43" s="145" t="s">
        <v>561</v>
      </c>
      <c r="C43" s="146" t="s">
        <v>729</v>
      </c>
      <c r="D43" s="158">
        <f>ROUND(NS,0)</f>
        <v>4</v>
      </c>
      <c r="E43" s="227"/>
      <c r="F43" s="228"/>
    </row>
    <row r="44" spans="1:6" ht="18.75">
      <c r="A44" s="86"/>
      <c r="B44" s="201" t="s">
        <v>730</v>
      </c>
      <c r="C44" s="226" t="s">
        <v>731</v>
      </c>
      <c r="D44" s="218">
        <f>ROUND((VDD_off+VDD_PCT+_∆V_MIN)*NSS/(VOUT+Vf_SR),0)</f>
        <v>2</v>
      </c>
      <c r="E44" s="229"/>
      <c r="F44" s="230"/>
    </row>
    <row r="45" spans="1:6" ht="18.75">
      <c r="A45" s="86"/>
      <c r="B45" s="201" t="s">
        <v>732</v>
      </c>
      <c r="C45" s="226" t="s">
        <v>733</v>
      </c>
      <c r="D45" s="218">
        <f>ROUND((VDD_max*NSS)/(VOUT*OVP*0.01+Vf_SR),0)</f>
        <v>4</v>
      </c>
      <c r="E45" s="229"/>
      <c r="F45" s="230"/>
    </row>
    <row r="46" spans="1:6" ht="18.75">
      <c r="A46" s="86"/>
      <c r="B46" s="145" t="s">
        <v>734</v>
      </c>
      <c r="C46" s="146" t="s">
        <v>735</v>
      </c>
      <c r="D46" s="158">
        <f>3</f>
        <v>3</v>
      </c>
      <c r="E46" s="227"/>
      <c r="F46" s="228" t="s">
        <v>736</v>
      </c>
    </row>
    <row r="47" spans="1:6" ht="18.75">
      <c r="A47" s="86"/>
      <c r="B47" s="201" t="s">
        <v>435</v>
      </c>
      <c r="C47" s="226" t="s">
        <v>737</v>
      </c>
      <c r="D47" s="218">
        <f>(Vf_SR+VOUT)*NPS</f>
        <v>160</v>
      </c>
      <c r="E47" s="229"/>
      <c r="F47" s="230"/>
    </row>
    <row r="48" spans="1:6" ht="18.75">
      <c r="A48" s="86"/>
      <c r="B48" s="201" t="s">
        <v>436</v>
      </c>
      <c r="C48" s="231" t="s">
        <v>738</v>
      </c>
      <c r="D48" s="232">
        <f>IF(Vin_type="AC",((NPS*(VOUT+Vf_SR))/((VINPUT_Brownout*SQRT(2)+NPS*VOUT))),((NPS*(VOUT+Vf_SR))/((VINPUT_Brownout+NPS*VOUT))))</f>
        <v>0.59703865627225339</v>
      </c>
      <c r="E48" s="233"/>
      <c r="F48" s="234"/>
    </row>
    <row r="49" spans="1:6" ht="18.75">
      <c r="A49" s="86"/>
      <c r="B49" s="201" t="s">
        <v>739</v>
      </c>
      <c r="C49" s="226" t="s">
        <v>740</v>
      </c>
      <c r="D49" s="218">
        <f>IF(Vin_type="AC",((((D_max^2)*((VINPUT_Brownout*SQRT(2))^2)*(η/100)*((100-KRES)/100))/(2*PO_FL*fSWmin*1000))*10^6),((((D_max^2)*((VINPUT_Brownout)^2)*(η/100)*((100-KRES)/100))/(2*PO_FL*fSWmin*1000))*10^6))</f>
        <v>275.29834995564846</v>
      </c>
      <c r="E49" s="233" t="s">
        <v>21</v>
      </c>
      <c r="F49" s="234"/>
    </row>
    <row r="50" spans="1:6" ht="18.75">
      <c r="A50" s="86"/>
      <c r="B50" s="235" t="s">
        <v>741</v>
      </c>
      <c r="C50" s="236" t="s">
        <v>742</v>
      </c>
      <c r="D50" s="158">
        <v>300</v>
      </c>
      <c r="E50" s="237" t="s">
        <v>21</v>
      </c>
      <c r="F50" s="238"/>
    </row>
    <row r="51" spans="1:6" ht="18.75">
      <c r="A51" s="86"/>
      <c r="B51" s="201" t="s">
        <v>437</v>
      </c>
      <c r="C51" s="226" t="s">
        <v>743</v>
      </c>
      <c r="D51" s="218">
        <f>IF(LM_actual="",LM_recommended,LM_actual)</f>
        <v>300</v>
      </c>
      <c r="E51" s="233"/>
      <c r="F51" s="234"/>
    </row>
    <row r="52" spans="1:6" ht="18.75">
      <c r="A52" s="86"/>
      <c r="B52" s="235" t="s">
        <v>438</v>
      </c>
      <c r="C52" s="236" t="s">
        <v>744</v>
      </c>
      <c r="D52" s="158">
        <v>2.5</v>
      </c>
      <c r="E52" s="424" t="s">
        <v>48</v>
      </c>
      <c r="F52" s="425"/>
    </row>
    <row r="53" spans="1:6" ht="18.75">
      <c r="A53" s="86"/>
      <c r="B53" s="145" t="s">
        <v>439</v>
      </c>
      <c r="C53" s="146" t="s">
        <v>745</v>
      </c>
      <c r="D53" s="158">
        <v>0.96</v>
      </c>
      <c r="E53" s="424"/>
      <c r="F53" s="425"/>
    </row>
    <row r="54" spans="1:6" ht="18.75">
      <c r="A54" s="86"/>
      <c r="B54" s="145" t="s">
        <v>440</v>
      </c>
      <c r="C54" s="146" t="s">
        <v>746</v>
      </c>
      <c r="D54" s="158">
        <v>3</v>
      </c>
      <c r="E54" s="237" t="s">
        <v>375</v>
      </c>
      <c r="F54" s="238"/>
    </row>
    <row r="55" spans="1:6" ht="19.5" thickBot="1">
      <c r="A55" s="86"/>
      <c r="B55" s="239" t="s">
        <v>441</v>
      </c>
      <c r="C55" s="240" t="s">
        <v>747</v>
      </c>
      <c r="D55" s="241">
        <v>0.1</v>
      </c>
      <c r="E55" s="428" t="s">
        <v>19</v>
      </c>
      <c r="F55" s="429"/>
    </row>
    <row r="56" spans="1:6" ht="15.75" thickBot="1">
      <c r="A56" s="86"/>
      <c r="B56" s="87"/>
      <c r="C56" s="97"/>
      <c r="D56" s="88"/>
      <c r="E56" s="89"/>
      <c r="F56" s="90"/>
    </row>
    <row r="57" spans="1:6" ht="18">
      <c r="A57" s="86"/>
      <c r="B57" s="418" t="s">
        <v>294</v>
      </c>
      <c r="C57" s="419"/>
      <c r="D57" s="419"/>
      <c r="E57" s="419"/>
      <c r="F57" s="420"/>
    </row>
    <row r="58" spans="1:6" ht="18.75">
      <c r="A58" s="98"/>
      <c r="B58" s="51" t="s">
        <v>442</v>
      </c>
      <c r="C58" s="99" t="s">
        <v>27</v>
      </c>
      <c r="D58" s="76">
        <f>IF(Vin_type="AC",((COSS_QH_bg*Vxh*(10^-12)+COSS_QH_sm*(10^-12)*(VINPUT_max*1.414+NPS*VOUT-Vxh))/(VINPUT_max*1.414+VOUT*NPS))*10^12,((COSS_QH_bg*Vxh*(10^-12)+COSS_QH_sm*(10^-12)*(VINPUT_max+NPS*VOUT-Vxh))/(VINPUT_max+VOUT*NPS))*10^12)</f>
        <v>300.44702651852231</v>
      </c>
      <c r="E58" s="330" t="s">
        <v>49</v>
      </c>
      <c r="F58" s="331"/>
    </row>
    <row r="59" spans="1:6" ht="18.75">
      <c r="A59" s="98"/>
      <c r="B59" s="51" t="s">
        <v>443</v>
      </c>
      <c r="C59" s="99" t="s">
        <v>28</v>
      </c>
      <c r="D59" s="76">
        <f>IF(Vin_type="AC",((COSS_QL_bg*Vxl*(10^-12)+COSS_QL_sm*(10^-12)*(VINPUT_max*1.414+NPS*VOUT-Vxl))/(VINPUT_max*1.414+VOUT*NPS))*10^12,((COSS_QL_bg*Vxl*(10^-12)+COSS_QL_sm*(10^-12)*(VINPUT_max+NPS*VOUT-Vxl))/(VINPUT_max+VOUT*NPS))*10^12)</f>
        <v>300.44702651852231</v>
      </c>
      <c r="E59" s="330" t="s">
        <v>49</v>
      </c>
      <c r="F59" s="331"/>
    </row>
    <row r="60" spans="1:6" ht="18.75">
      <c r="A60" s="98"/>
      <c r="B60" s="51" t="s">
        <v>440</v>
      </c>
      <c r="C60" s="99" t="s">
        <v>68</v>
      </c>
      <c r="D60" s="76">
        <f>CTr</f>
        <v>3</v>
      </c>
      <c r="E60" s="406" t="s">
        <v>49</v>
      </c>
      <c r="F60" s="407"/>
    </row>
    <row r="61" spans="1:6" ht="18.75">
      <c r="A61" s="86"/>
      <c r="B61" s="51" t="s">
        <v>444</v>
      </c>
      <c r="C61" s="99" t="s">
        <v>70</v>
      </c>
      <c r="D61" s="71">
        <f>CBootD_T</f>
        <v>10</v>
      </c>
      <c r="E61" s="406" t="s">
        <v>71</v>
      </c>
      <c r="F61" s="407"/>
    </row>
    <row r="62" spans="1:6" ht="18.75">
      <c r="A62" s="86"/>
      <c r="B62" s="51" t="s">
        <v>445</v>
      </c>
      <c r="C62" s="99" t="s">
        <v>72</v>
      </c>
      <c r="D62" s="61">
        <f>COSS_Qs</f>
        <v>1.7</v>
      </c>
      <c r="E62" s="58" t="s">
        <v>26</v>
      </c>
      <c r="F62" s="100"/>
    </row>
    <row r="63" spans="1:6" ht="18.75">
      <c r="A63" s="86"/>
      <c r="B63" s="82" t="s">
        <v>446</v>
      </c>
      <c r="C63" s="101" t="s">
        <v>73</v>
      </c>
      <c r="D63" s="191">
        <f>(CDaux_T+Coss_SR_T)/NPS^2</f>
        <v>44.255237934453731</v>
      </c>
      <c r="E63" s="406" t="s">
        <v>49</v>
      </c>
      <c r="F63" s="407"/>
    </row>
    <row r="64" spans="1:6" ht="19.5" thickBot="1">
      <c r="A64" s="86"/>
      <c r="B64" s="52" t="s">
        <v>447</v>
      </c>
      <c r="C64" s="102" t="s">
        <v>118</v>
      </c>
      <c r="D64" s="112">
        <f>D58+D59+D60+D61+D62+D63</f>
        <v>659.84929097149836</v>
      </c>
      <c r="E64" s="334" t="s">
        <v>49</v>
      </c>
      <c r="F64" s="335"/>
    </row>
    <row r="65" spans="1:6" ht="15.75" thickBot="1">
      <c r="A65" s="86"/>
      <c r="B65" s="87"/>
      <c r="C65" s="97"/>
      <c r="D65" s="88"/>
      <c r="E65" s="89"/>
      <c r="F65" s="90"/>
    </row>
    <row r="66" spans="1:6">
      <c r="A66" s="86"/>
      <c r="B66" s="414" t="s">
        <v>133</v>
      </c>
      <c r="C66" s="415"/>
      <c r="D66" s="415"/>
      <c r="E66" s="415"/>
      <c r="F66" s="416"/>
    </row>
    <row r="67" spans="1:6" ht="18.75">
      <c r="A67" s="86"/>
      <c r="B67" s="82" t="s">
        <v>578</v>
      </c>
      <c r="C67" s="101" t="s">
        <v>579</v>
      </c>
      <c r="D67" s="224">
        <v>40</v>
      </c>
      <c r="E67" s="64" t="s">
        <v>7</v>
      </c>
      <c r="F67" s="225"/>
    </row>
    <row r="68" spans="1:6" ht="18.75">
      <c r="A68" s="86"/>
      <c r="B68" s="82" t="s">
        <v>448</v>
      </c>
      <c r="C68" s="101" t="s">
        <v>54</v>
      </c>
      <c r="D68" s="113">
        <f>IF(Vin_type="AC",(((((0.001/fSWmin)*VINPUT_Brownout*1.414)/(VINPUT_Brownout*1.414+VRfl))^2)/((3.141^2)*LK_actual*10^-6))*10^6*1.2*((100+Drea_clamp)/100),(((((0.001/fSWmin)*VINPUT_Brownout)/(VINPUT_Brownout+VRfl))^2)/((3.141^2)*LK_actual*10^-6))*10^6*1.2*((100+Drea_clamp)/100))</f>
        <v>0.22847384513121535</v>
      </c>
      <c r="E68" s="64" t="s">
        <v>52</v>
      </c>
      <c r="F68" s="225"/>
    </row>
    <row r="69" spans="1:6" ht="18.75">
      <c r="A69" s="86"/>
      <c r="B69" s="108" t="s">
        <v>449</v>
      </c>
      <c r="C69" s="109" t="s">
        <v>67</v>
      </c>
      <c r="D69" s="53">
        <v>0.44</v>
      </c>
      <c r="E69" s="114" t="s">
        <v>66</v>
      </c>
      <c r="F69" s="115"/>
    </row>
    <row r="70" spans="1:6" ht="18.75">
      <c r="A70" s="93"/>
      <c r="B70" s="82" t="s">
        <v>450</v>
      </c>
      <c r="C70" s="101" t="s">
        <v>55</v>
      </c>
      <c r="D70" s="113">
        <f>IF(Cclamp_act="",Cclamp_rec,Cclamp_act)</f>
        <v>0.44</v>
      </c>
      <c r="E70" s="64" t="s">
        <v>66</v>
      </c>
      <c r="F70" s="100"/>
    </row>
    <row r="71" spans="1:6" ht="18.75">
      <c r="A71" s="86"/>
      <c r="B71" s="82" t="s">
        <v>451</v>
      </c>
      <c r="C71" s="101" t="s">
        <v>669</v>
      </c>
      <c r="D71" s="113">
        <f>TFDR/(Cclamp*((100-Drea_clamp)/100)*10^-6*LN((NPS*VOUT+ΔVSPIKE)/Vclamp_max))/1000000</f>
        <v>3.1040708838864548</v>
      </c>
      <c r="E71" s="64" t="s">
        <v>200</v>
      </c>
      <c r="F71" s="100"/>
    </row>
    <row r="72" spans="1:6" ht="18.75">
      <c r="A72" s="86"/>
      <c r="B72" s="108" t="s">
        <v>452</v>
      </c>
      <c r="C72" s="109" t="s">
        <v>201</v>
      </c>
      <c r="D72" s="53">
        <v>6.6</v>
      </c>
      <c r="E72" s="114" t="s">
        <v>200</v>
      </c>
      <c r="F72" s="115"/>
    </row>
    <row r="73" spans="1:6" ht="19.5" thickBot="1">
      <c r="A73" s="86"/>
      <c r="B73" s="52" t="s">
        <v>453</v>
      </c>
      <c r="C73" s="102" t="s">
        <v>202</v>
      </c>
      <c r="D73" s="112">
        <f>IF(RBLEED_act="",RBLEED_recc,RBLEED_act)</f>
        <v>6.6</v>
      </c>
      <c r="E73" s="103" t="s">
        <v>200</v>
      </c>
      <c r="F73" s="104"/>
    </row>
    <row r="74" spans="1:6" ht="15.75" thickBot="1">
      <c r="A74" s="86"/>
      <c r="B74" s="87"/>
      <c r="C74" s="97"/>
      <c r="D74" s="88"/>
      <c r="E74" s="89"/>
      <c r="F74" s="90"/>
    </row>
    <row r="75" spans="1:6">
      <c r="A75" s="86"/>
      <c r="B75" s="116" t="s">
        <v>74</v>
      </c>
      <c r="C75" s="117"/>
      <c r="D75" s="118"/>
      <c r="E75" s="119"/>
      <c r="F75" s="120"/>
    </row>
    <row r="76" spans="1:6" ht="18.75">
      <c r="A76" s="86"/>
      <c r="B76" s="82" t="s">
        <v>454</v>
      </c>
      <c r="C76" s="101" t="s">
        <v>76</v>
      </c>
      <c r="D76" s="113">
        <f>IF(Vin_type="AC",(NA*VINPUT_Brownin*1.414)/(NP*IVSL_run*10^-6)/1000,(NA*VINPUT_Brownin)/(NP*IVSL_run*10^-6)/1000)</f>
        <v>50.915068493150677</v>
      </c>
      <c r="E76" s="402" t="s">
        <v>724</v>
      </c>
      <c r="F76" s="403"/>
    </row>
    <row r="77" spans="1:6" ht="18.75">
      <c r="A77" s="86"/>
      <c r="B77" s="108" t="s">
        <v>455</v>
      </c>
      <c r="C77" s="121" t="s">
        <v>77</v>
      </c>
      <c r="D77" s="157">
        <v>48.7</v>
      </c>
      <c r="E77" s="410" t="s">
        <v>266</v>
      </c>
      <c r="F77" s="411"/>
    </row>
    <row r="78" spans="1:6" ht="18.75">
      <c r="A78" s="86"/>
      <c r="B78" s="82" t="s">
        <v>456</v>
      </c>
      <c r="C78" s="101" t="s">
        <v>78</v>
      </c>
      <c r="D78" s="113">
        <f>IF(RVS1_act="",RVS1_rec,RVS1_act)</f>
        <v>48.7</v>
      </c>
      <c r="E78" s="402" t="s">
        <v>266</v>
      </c>
      <c r="F78" s="403"/>
    </row>
    <row r="79" spans="1:6" ht="18.75">
      <c r="A79" s="86"/>
      <c r="B79" s="82" t="s">
        <v>457</v>
      </c>
      <c r="C79" s="101" t="s">
        <v>79</v>
      </c>
      <c r="D79" s="113">
        <f>(VVS_OVP*RVS_1)/(NA*(VOUT*OVP*0.01+Vf_SR)/NSS-VVS_OVP)</f>
        <v>9.4870129870129869</v>
      </c>
      <c r="E79" s="402" t="s">
        <v>266</v>
      </c>
      <c r="F79" s="403"/>
    </row>
    <row r="80" spans="1:6" ht="18.75">
      <c r="A80" s="86"/>
      <c r="B80" s="108" t="s">
        <v>458</v>
      </c>
      <c r="C80" s="121" t="s">
        <v>81</v>
      </c>
      <c r="D80" s="157">
        <v>9.31</v>
      </c>
      <c r="E80" s="410" t="s">
        <v>266</v>
      </c>
      <c r="F80" s="411"/>
    </row>
    <row r="81" spans="1:6" ht="19.5" thickBot="1">
      <c r="A81" s="86"/>
      <c r="B81" s="52" t="s">
        <v>459</v>
      </c>
      <c r="C81" s="102" t="s">
        <v>82</v>
      </c>
      <c r="D81" s="112">
        <f>IF(RVS2_act="",RVS2_rec,RVS2_act)</f>
        <v>9.31</v>
      </c>
      <c r="E81" s="397" t="s">
        <v>266</v>
      </c>
      <c r="F81" s="398"/>
    </row>
    <row r="82" spans="1:6" ht="15.75" thickBot="1">
      <c r="A82" s="86"/>
      <c r="B82" s="87"/>
      <c r="C82" s="97"/>
      <c r="D82" s="88"/>
      <c r="E82" s="89"/>
      <c r="F82" s="90"/>
    </row>
    <row r="83" spans="1:6" ht="18">
      <c r="A83" s="86"/>
      <c r="B83" s="116" t="s">
        <v>83</v>
      </c>
      <c r="C83" s="117"/>
      <c r="D83" s="118"/>
      <c r="E83" s="119"/>
      <c r="F83" s="120"/>
    </row>
    <row r="84" spans="1:6" ht="16.149999999999999" customHeight="1">
      <c r="A84" s="86"/>
      <c r="B84" s="106" t="s">
        <v>548</v>
      </c>
      <c r="C84" s="107" t="s">
        <v>549</v>
      </c>
      <c r="D84" s="53">
        <v>150</v>
      </c>
      <c r="E84" s="114" t="s">
        <v>85</v>
      </c>
      <c r="F84" s="115" t="s">
        <v>292</v>
      </c>
    </row>
    <row r="85" spans="1:6" ht="18.75">
      <c r="A85" s="86"/>
      <c r="B85" s="82" t="s">
        <v>460</v>
      </c>
      <c r="C85" s="101" t="s">
        <v>98</v>
      </c>
      <c r="D85" s="113">
        <f>IF(Vin_type="AC",VCST_OPP1/(PO_FL*OPP*0.01*2/(VINPUT_Brownout*1.414*ηXFMR*DOPP_min)-VINPUT_Brownout*1.414*tD_CST*10^-9/LM*10^-6),VCST_OPP1/(PO_FL*OPP*0.01*2/(VINPUT_Brownout*ηXFMR*DOPP_min)-VINPUT_Brownout*tD_CST*10^-9/LM*10^-6))</f>
        <v>0.56262983307443859</v>
      </c>
      <c r="E85" s="417" t="s">
        <v>80</v>
      </c>
      <c r="F85" s="403"/>
    </row>
    <row r="86" spans="1:6" ht="28.5">
      <c r="A86" s="86"/>
      <c r="B86" s="108" t="s">
        <v>461</v>
      </c>
      <c r="C86" s="121" t="s">
        <v>100</v>
      </c>
      <c r="D86" s="297">
        <v>0.56000000000000005</v>
      </c>
      <c r="E86" s="114" t="s">
        <v>816</v>
      </c>
      <c r="F86" s="298" t="s">
        <v>818</v>
      </c>
    </row>
    <row r="87" spans="1:6" ht="18.75">
      <c r="A87" s="86"/>
      <c r="B87" s="51" t="s">
        <v>462</v>
      </c>
      <c r="C87" s="99" t="s">
        <v>99</v>
      </c>
      <c r="D87" s="76">
        <f>IF(RCS_act="",RCS_rec,RCS_act)</f>
        <v>0.56000000000000005</v>
      </c>
      <c r="E87" s="408" t="s">
        <v>80</v>
      </c>
      <c r="F87" s="403"/>
    </row>
    <row r="88" spans="1:6" ht="18.75">
      <c r="A88" s="86"/>
      <c r="B88" s="82" t="s">
        <v>463</v>
      </c>
      <c r="C88" s="101" t="s">
        <v>311</v>
      </c>
      <c r="D88" s="76">
        <f>SQRT((fsw_OPP_min*1000/3)*((ipk_OPP_min^2)*(DOPP_min/(fsw_OPP_min*1000)-TZ_min*10^-9)+(TZ_min*10^-9)*IM_nega_max^2))</f>
        <v>0.51053648079487557</v>
      </c>
      <c r="E88" s="122" t="s">
        <v>30</v>
      </c>
      <c r="F88" s="123"/>
    </row>
    <row r="89" spans="1:6" ht="19.5" thickBot="1">
      <c r="A89" s="86"/>
      <c r="B89" s="52" t="s">
        <v>464</v>
      </c>
      <c r="C89" s="102" t="s">
        <v>310</v>
      </c>
      <c r="D89" s="112">
        <f>RCS*iQL_RMS^2</f>
        <v>0.14596259900455316</v>
      </c>
      <c r="E89" s="124" t="s">
        <v>11</v>
      </c>
      <c r="F89" s="125"/>
    </row>
    <row r="90" spans="1:6" ht="15.75" thickBot="1">
      <c r="A90" s="86"/>
      <c r="B90" s="87"/>
      <c r="C90" s="97"/>
      <c r="D90" s="88"/>
      <c r="E90" s="89"/>
      <c r="F90" s="90"/>
    </row>
    <row r="91" spans="1:6">
      <c r="A91" s="86"/>
      <c r="B91" s="116" t="s">
        <v>110</v>
      </c>
      <c r="C91" s="117"/>
      <c r="D91" s="118"/>
      <c r="E91" s="119"/>
      <c r="F91" s="120"/>
    </row>
    <row r="92" spans="1:6" ht="18.75">
      <c r="A92" s="86"/>
      <c r="B92" s="82" t="s">
        <v>465</v>
      </c>
      <c r="C92" s="101" t="s">
        <v>122</v>
      </c>
      <c r="D92" s="113">
        <f>IF(Vin_type="AC",(Voffset_CS_OPP+(TD_CS_filter*10^-9)*VINPUT_max*1.414*RCS/(LM*10^-6))/((iVSL_max*10^-3)/KLC),(Voffset_CS_OPP+(TD_CS_filter*10^-9)*VINPUT_max*RCS/(LM*10^-6))/((iVSL_max*10^-3)/KLC))</f>
        <v>1401.6871624155724</v>
      </c>
      <c r="E92" s="412" t="s">
        <v>817</v>
      </c>
      <c r="F92" s="413"/>
    </row>
    <row r="93" spans="1:6" ht="18.75">
      <c r="A93" s="86"/>
      <c r="B93" s="108" t="s">
        <v>466</v>
      </c>
      <c r="C93" s="121" t="s">
        <v>124</v>
      </c>
      <c r="D93" s="157">
        <v>2750</v>
      </c>
      <c r="E93" s="410" t="s">
        <v>80</v>
      </c>
      <c r="F93" s="411"/>
    </row>
    <row r="94" spans="1:6" ht="18.75">
      <c r="A94" s="86"/>
      <c r="B94" s="82" t="s">
        <v>467</v>
      </c>
      <c r="C94" s="101" t="s">
        <v>390</v>
      </c>
      <c r="D94" s="113">
        <f>IF(R_OPP_act="",R_OPP_rec,R_OPP_act)</f>
        <v>2750</v>
      </c>
      <c r="E94" s="402" t="s">
        <v>391</v>
      </c>
      <c r="F94" s="403"/>
    </row>
    <row r="95" spans="1:6" ht="18.75">
      <c r="A95" s="86"/>
      <c r="B95" s="82" t="s">
        <v>468</v>
      </c>
      <c r="C95" s="101" t="s">
        <v>384</v>
      </c>
      <c r="D95" s="76">
        <f>(TD_CS_filter/R_OPP)*10^3</f>
        <v>54.54545454545454</v>
      </c>
      <c r="E95" s="408" t="s">
        <v>71</v>
      </c>
      <c r="F95" s="409"/>
    </row>
    <row r="96" spans="1:6" ht="18.75">
      <c r="A96" s="86"/>
      <c r="B96" s="108" t="s">
        <v>469</v>
      </c>
      <c r="C96" s="121" t="s">
        <v>127</v>
      </c>
      <c r="D96" s="157">
        <v>47</v>
      </c>
      <c r="E96" s="410" t="s">
        <v>71</v>
      </c>
      <c r="F96" s="411"/>
    </row>
    <row r="97" spans="1:6" ht="18.75">
      <c r="A97" s="86"/>
      <c r="B97" s="82" t="s">
        <v>550</v>
      </c>
      <c r="C97" s="101" t="s">
        <v>551</v>
      </c>
      <c r="D97" s="76">
        <f>IF(CCS_act="",CCS_rec,CCS_act)</f>
        <v>47</v>
      </c>
      <c r="E97" s="122" t="s">
        <v>552</v>
      </c>
      <c r="F97" s="123"/>
    </row>
    <row r="98" spans="1:6" ht="19.5" thickBot="1">
      <c r="A98" s="86"/>
      <c r="B98" s="52" t="s">
        <v>553</v>
      </c>
      <c r="C98" s="102" t="s">
        <v>554</v>
      </c>
      <c r="D98" s="112">
        <f>R_OPP*CCS*0.001</f>
        <v>129.25</v>
      </c>
      <c r="E98" s="124" t="s">
        <v>555</v>
      </c>
      <c r="F98" s="125"/>
    </row>
    <row r="99" spans="1:6" ht="15.75" thickBot="1">
      <c r="A99" s="86"/>
      <c r="B99" s="87"/>
      <c r="C99" s="97"/>
      <c r="D99" s="126"/>
      <c r="E99" s="127"/>
      <c r="F99" s="127"/>
    </row>
    <row r="100" spans="1:6">
      <c r="A100" s="86"/>
      <c r="B100" s="116" t="s">
        <v>128</v>
      </c>
      <c r="C100" s="117"/>
      <c r="D100" s="118"/>
      <c r="E100" s="119"/>
      <c r="F100" s="120"/>
    </row>
    <row r="101" spans="1:6" ht="18.75">
      <c r="A101" s="86"/>
      <c r="B101" s="51" t="s">
        <v>470</v>
      </c>
      <c r="C101" s="99" t="s">
        <v>129</v>
      </c>
      <c r="D101" s="76">
        <f>(KDM*LM*10^-6*RVS_2*1000*NA/NP)/(RCS*(RVS_1*1000+RVS_2*1000))/1000</f>
        <v>61.411825547319424</v>
      </c>
      <c r="E101" s="128" t="s">
        <v>266</v>
      </c>
      <c r="F101" s="129" t="s">
        <v>618</v>
      </c>
    </row>
    <row r="102" spans="1:6" ht="18.75">
      <c r="A102" s="86"/>
      <c r="B102" s="106" t="s">
        <v>471</v>
      </c>
      <c r="C102" s="107" t="s">
        <v>131</v>
      </c>
      <c r="D102" s="53">
        <v>61.9</v>
      </c>
      <c r="E102" s="404" t="s">
        <v>266</v>
      </c>
      <c r="F102" s="405"/>
    </row>
    <row r="103" spans="1:6" ht="19.5" thickBot="1">
      <c r="A103" s="86"/>
      <c r="B103" s="52" t="s">
        <v>472</v>
      </c>
      <c r="C103" s="102" t="s">
        <v>130</v>
      </c>
      <c r="D103" s="112">
        <f>IF(RDM_act="",RDM_rec,RDM_act)</f>
        <v>61.9</v>
      </c>
      <c r="E103" s="130" t="s">
        <v>266</v>
      </c>
      <c r="F103" s="131"/>
    </row>
    <row r="104" spans="1:6" ht="15.75" thickBot="1">
      <c r="A104" s="86"/>
      <c r="B104" s="87"/>
      <c r="C104" s="97"/>
      <c r="D104" s="88"/>
      <c r="E104" s="89"/>
      <c r="F104" s="90"/>
    </row>
    <row r="105" spans="1:6">
      <c r="A105" s="86"/>
      <c r="B105" s="116" t="s">
        <v>132</v>
      </c>
      <c r="C105" s="117"/>
      <c r="D105" s="118"/>
      <c r="E105" s="119"/>
      <c r="F105" s="120"/>
    </row>
    <row r="106" spans="1:6" ht="18.75">
      <c r="A106" s="86"/>
      <c r="B106" s="51" t="s">
        <v>473</v>
      </c>
      <c r="C106" s="99" t="s">
        <v>136</v>
      </c>
      <c r="D106" s="76">
        <f>0.56*3.141*SQRT(LM*10^-6*CSW_T_nor*10^-12)*10^9</f>
        <v>782.59842214035632</v>
      </c>
      <c r="E106" s="402" t="s">
        <v>85</v>
      </c>
      <c r="F106" s="403"/>
    </row>
    <row r="107" spans="1:6" ht="18.75">
      <c r="A107" s="86"/>
      <c r="B107" s="51" t="s">
        <v>474</v>
      </c>
      <c r="C107" s="99" t="s">
        <v>135</v>
      </c>
      <c r="D107" s="76">
        <f>KTZ*(TZ_min+TD_HDr)*10^-9/1000</f>
        <v>494.25511639859957</v>
      </c>
      <c r="E107" s="128" t="s">
        <v>266</v>
      </c>
      <c r="F107" s="129"/>
    </row>
    <row r="108" spans="1:6" ht="18.75">
      <c r="A108" s="86"/>
      <c r="B108" s="106" t="s">
        <v>475</v>
      </c>
      <c r="C108" s="107" t="s">
        <v>137</v>
      </c>
      <c r="D108" s="53">
        <v>499</v>
      </c>
      <c r="E108" s="404" t="s">
        <v>266</v>
      </c>
      <c r="F108" s="405"/>
    </row>
    <row r="109" spans="1:6" ht="19.5" thickBot="1">
      <c r="A109" s="86"/>
      <c r="B109" s="52" t="s">
        <v>476</v>
      </c>
      <c r="C109" s="102" t="s">
        <v>138</v>
      </c>
      <c r="D109" s="112">
        <f>IF(RTZ_act="",RTZ_rec,RTZ_act)</f>
        <v>499</v>
      </c>
      <c r="E109" s="130" t="s">
        <v>266</v>
      </c>
      <c r="F109" s="131"/>
    </row>
    <row r="110" spans="1:6" ht="15.75" thickBot="1">
      <c r="A110" s="86"/>
      <c r="B110" s="87"/>
      <c r="C110" s="97"/>
      <c r="D110" s="88"/>
      <c r="E110" s="89"/>
      <c r="F110" s="90"/>
    </row>
    <row r="111" spans="1:6">
      <c r="A111" s="86"/>
      <c r="B111" s="116" t="s">
        <v>139</v>
      </c>
      <c r="C111" s="117"/>
      <c r="D111" s="118"/>
      <c r="E111" s="119"/>
      <c r="F111" s="120"/>
    </row>
    <row r="112" spans="1:6" ht="69" customHeight="1">
      <c r="A112" s="86"/>
      <c r="B112" s="51" t="s">
        <v>477</v>
      </c>
      <c r="C112" s="99" t="s">
        <v>145</v>
      </c>
      <c r="D112" s="76">
        <f>IF(Vin_type="AC",ipk_BUR*RCS-VINPUT_BUR*1.414*RCS*tD_CST*10^-9/(LM*10^-6)+iVSL_BUR*10^-3*R_OPP/KLC,ipk_BUR*RCS-VINPUT_BUR*RCS*tD_CST*10^-9/(LM*10^-6)+iVSL_BUR*10^-3*R_OPP/KLC)</f>
        <v>0.32760886827407937</v>
      </c>
      <c r="E112" s="122" t="s">
        <v>149</v>
      </c>
      <c r="F112" s="223"/>
    </row>
    <row r="113" spans="1:6" ht="18.75">
      <c r="A113" s="86"/>
      <c r="B113" s="82" t="s">
        <v>478</v>
      </c>
      <c r="C113" s="99" t="s">
        <v>155</v>
      </c>
      <c r="D113" s="76">
        <f>(0.11/(2.5*10^-6))/(1-KBUR_CST*VCST_BUR/5)/1000</f>
        <v>59.627633124667462</v>
      </c>
      <c r="E113" s="402" t="s">
        <v>284</v>
      </c>
      <c r="F113" s="403"/>
    </row>
    <row r="114" spans="1:6" ht="18.75">
      <c r="A114" s="86"/>
      <c r="B114" s="108" t="s">
        <v>479</v>
      </c>
      <c r="C114" s="107" t="s">
        <v>156</v>
      </c>
      <c r="D114" s="53">
        <v>59.619</v>
      </c>
      <c r="E114" s="404" t="s">
        <v>266</v>
      </c>
      <c r="F114" s="405"/>
    </row>
    <row r="115" spans="1:6" ht="18.75">
      <c r="A115" s="86"/>
      <c r="B115" s="82" t="s">
        <v>480</v>
      </c>
      <c r="C115" s="99" t="s">
        <v>157</v>
      </c>
      <c r="D115" s="76">
        <f>IF(RBUR2_act="",RBUR2_rec,RBUR2_act)</f>
        <v>59.619</v>
      </c>
      <c r="E115" s="402" t="s">
        <v>266</v>
      </c>
      <c r="F115" s="403"/>
    </row>
    <row r="116" spans="1:6" ht="18.75">
      <c r="A116" s="86"/>
      <c r="B116" s="82" t="s">
        <v>481</v>
      </c>
      <c r="C116" s="99" t="s">
        <v>357</v>
      </c>
      <c r="D116" s="76">
        <f>(5*1000*RBUR2/(KBUR_CST*VCST_BUR)-RBUR2*1000)/1000</f>
        <v>167.85881643582684</v>
      </c>
      <c r="E116" s="402" t="s">
        <v>358</v>
      </c>
      <c r="F116" s="403"/>
    </row>
    <row r="117" spans="1:6" ht="18.75">
      <c r="A117" s="86"/>
      <c r="B117" s="108" t="s">
        <v>482</v>
      </c>
      <c r="C117" s="107" t="s">
        <v>359</v>
      </c>
      <c r="D117" s="53">
        <v>169</v>
      </c>
      <c r="E117" s="404" t="s">
        <v>358</v>
      </c>
      <c r="F117" s="405"/>
    </row>
    <row r="118" spans="1:6" ht="18.75">
      <c r="A118" s="86"/>
      <c r="B118" s="82" t="s">
        <v>483</v>
      </c>
      <c r="C118" s="99" t="s">
        <v>360</v>
      </c>
      <c r="D118" s="76">
        <f>IF(RBUR1_act="",RBUR1_rec,RBUR1_act)</f>
        <v>169</v>
      </c>
      <c r="E118" s="402" t="s">
        <v>358</v>
      </c>
      <c r="F118" s="403"/>
    </row>
    <row r="119" spans="1:6" ht="18.75">
      <c r="A119" s="86"/>
      <c r="B119" s="82" t="s">
        <v>583</v>
      </c>
      <c r="C119" s="99" t="s">
        <v>584</v>
      </c>
      <c r="D119" s="132">
        <f>5*RBUR2_act/(RBUR2_act+RBUR1_act)</f>
        <v>1.3038942520088008</v>
      </c>
      <c r="E119" s="133" t="s">
        <v>585</v>
      </c>
      <c r="F119" s="134"/>
    </row>
    <row r="120" spans="1:6" ht="18.75">
      <c r="A120" s="86"/>
      <c r="B120" s="82" t="s">
        <v>484</v>
      </c>
      <c r="C120" s="99" t="s">
        <v>383</v>
      </c>
      <c r="D120" s="132">
        <f>(40*10^-6)/(3*(RBUR2*RBUR1*1000/(RBUR2+RBUR1)))*10^12</f>
        <v>302.53781466288575</v>
      </c>
      <c r="E120" s="402" t="s">
        <v>363</v>
      </c>
      <c r="F120" s="403"/>
    </row>
    <row r="121" spans="1:6" ht="18.75">
      <c r="A121" s="86"/>
      <c r="B121" s="108" t="s">
        <v>485</v>
      </c>
      <c r="C121" s="107" t="s">
        <v>362</v>
      </c>
      <c r="D121" s="53">
        <v>250</v>
      </c>
      <c r="E121" s="404" t="s">
        <v>363</v>
      </c>
      <c r="F121" s="405"/>
    </row>
    <row r="122" spans="1:6" ht="19.5" thickBot="1">
      <c r="A122" s="86"/>
      <c r="B122" s="52" t="s">
        <v>486</v>
      </c>
      <c r="C122" s="102" t="s">
        <v>361</v>
      </c>
      <c r="D122" s="112">
        <f>IF(CBUR_act="",CBUR_rec,CBUR_act)</f>
        <v>250</v>
      </c>
      <c r="E122" s="397" t="s">
        <v>364</v>
      </c>
      <c r="F122" s="398"/>
    </row>
    <row r="123" spans="1:6" ht="15.75" thickBot="1">
      <c r="A123" s="86"/>
      <c r="B123" s="87"/>
      <c r="C123" s="97"/>
      <c r="D123" s="88"/>
      <c r="E123" s="89"/>
      <c r="F123" s="90"/>
    </row>
    <row r="124" spans="1:6">
      <c r="A124" s="86"/>
      <c r="B124" s="116" t="s">
        <v>158</v>
      </c>
      <c r="C124" s="117"/>
      <c r="D124" s="118"/>
      <c r="E124" s="119"/>
      <c r="F124" s="120"/>
    </row>
    <row r="125" spans="1:6" ht="18.75">
      <c r="A125" s="86"/>
      <c r="B125" s="51" t="s">
        <v>487</v>
      </c>
      <c r="C125" s="99" t="s">
        <v>381</v>
      </c>
      <c r="D125" s="76">
        <f>IF(Vin_type="AC",(COSS_Qs*10^-12*(VINPUT_max*1.414+NPS*VOUT)/(VHVG+0.9*Vgs_Qs)-CDz*10^-12)*10^12,(COSS_Qs*10^-12*(VINPUT_max+NPS*VOUT)/(VHVG+0.9*Vgs_Qs)-CDz*10^-12)*10^12)</f>
        <v>18.460596491228067</v>
      </c>
      <c r="E125" s="64" t="s">
        <v>159</v>
      </c>
      <c r="F125" s="222"/>
    </row>
    <row r="126" spans="1:6" ht="18.75">
      <c r="A126" s="86"/>
      <c r="B126" s="106" t="s">
        <v>488</v>
      </c>
      <c r="C126" s="107" t="s">
        <v>160</v>
      </c>
      <c r="D126" s="53">
        <v>22</v>
      </c>
      <c r="E126" s="114" t="s">
        <v>159</v>
      </c>
      <c r="F126" s="115"/>
    </row>
    <row r="127" spans="1:6" ht="18.75">
      <c r="A127" s="86"/>
      <c r="B127" s="51" t="s">
        <v>489</v>
      </c>
      <c r="C127" s="99" t="s">
        <v>161</v>
      </c>
      <c r="D127" s="76">
        <f>IF(CSWS_act="",CSWS_rec,CSWS_act)</f>
        <v>22</v>
      </c>
      <c r="E127" s="64" t="s">
        <v>159</v>
      </c>
      <c r="F127" s="100"/>
    </row>
    <row r="128" spans="1:6" ht="18.75">
      <c r="A128" s="86"/>
      <c r="B128" s="51" t="s">
        <v>490</v>
      </c>
      <c r="C128" s="99" t="s">
        <v>382</v>
      </c>
      <c r="D128" s="76">
        <f>10*SQRT((LQs*10^-9)/((CSWS+CDz)*10^-12))</f>
        <v>121.71612389003691</v>
      </c>
      <c r="E128" s="402" t="s">
        <v>80</v>
      </c>
      <c r="F128" s="403"/>
    </row>
    <row r="129" spans="1:6" ht="18.75">
      <c r="A129" s="86"/>
      <c r="B129" s="106" t="s">
        <v>491</v>
      </c>
      <c r="C129" s="107" t="s">
        <v>162</v>
      </c>
      <c r="D129" s="53">
        <v>124</v>
      </c>
      <c r="E129" s="404" t="s">
        <v>80</v>
      </c>
      <c r="F129" s="405"/>
    </row>
    <row r="130" spans="1:6" ht="19.5" thickBot="1">
      <c r="A130" s="86"/>
      <c r="B130" s="52" t="s">
        <v>492</v>
      </c>
      <c r="C130" s="102" t="s">
        <v>163</v>
      </c>
      <c r="D130" s="112">
        <f>IF(RSWS_act="",RSWS_rec,RSWS_act)</f>
        <v>124</v>
      </c>
      <c r="E130" s="397" t="s">
        <v>80</v>
      </c>
      <c r="F130" s="398"/>
    </row>
    <row r="131" spans="1:6" ht="15.75" thickBot="1">
      <c r="A131" s="86"/>
      <c r="B131" s="87"/>
      <c r="C131" s="97"/>
      <c r="D131" s="88"/>
      <c r="E131" s="89"/>
      <c r="F131" s="90"/>
    </row>
    <row r="132" spans="1:6">
      <c r="A132" s="86"/>
      <c r="B132" s="116" t="s">
        <v>164</v>
      </c>
      <c r="C132" s="117"/>
      <c r="D132" s="118"/>
      <c r="E132" s="119"/>
      <c r="F132" s="120"/>
    </row>
    <row r="133" spans="1:6" ht="18.75">
      <c r="A133" s="86"/>
      <c r="B133" s="51" t="s">
        <v>493</v>
      </c>
      <c r="C133" s="99" t="s">
        <v>376</v>
      </c>
      <c r="D133" s="76">
        <f>Vth_Qs/(15*10^-6)/1000</f>
        <v>133.33333333333334</v>
      </c>
      <c r="E133" s="135" t="s">
        <v>377</v>
      </c>
      <c r="F133" s="136" t="s">
        <v>676</v>
      </c>
    </row>
    <row r="134" spans="1:6" ht="18.75">
      <c r="A134" s="86"/>
      <c r="B134" s="106" t="s">
        <v>494</v>
      </c>
      <c r="C134" s="107" t="s">
        <v>165</v>
      </c>
      <c r="D134" s="53">
        <v>1</v>
      </c>
      <c r="E134" s="114" t="s">
        <v>285</v>
      </c>
      <c r="F134" s="115" t="s">
        <v>167</v>
      </c>
    </row>
    <row r="135" spans="1:6" ht="18.75">
      <c r="A135" s="86"/>
      <c r="B135" s="51" t="s">
        <v>495</v>
      </c>
      <c r="C135" s="99" t="s">
        <v>166</v>
      </c>
      <c r="D135" s="76">
        <f>IF(RHVG_act="",RHVG_rec,RHVG_act)</f>
        <v>1</v>
      </c>
      <c r="E135" s="402" t="s">
        <v>285</v>
      </c>
      <c r="F135" s="403"/>
    </row>
    <row r="136" spans="1:6" ht="57" customHeight="1">
      <c r="A136" s="86"/>
      <c r="B136" s="51" t="s">
        <v>496</v>
      </c>
      <c r="C136" s="99" t="s">
        <v>385</v>
      </c>
      <c r="D136" s="76">
        <f>((Ciss_Qs*10^-12)+(Trise_max*10^-9)/(RHVG*10^6))*(VDz-VHVG)/0.22*10^9*1.2</f>
        <v>1.4650752238401294</v>
      </c>
      <c r="E136" s="137" t="s">
        <v>170</v>
      </c>
      <c r="F136" s="138" t="s">
        <v>388</v>
      </c>
    </row>
    <row r="137" spans="1:6" ht="18.75">
      <c r="A137" s="86"/>
      <c r="B137" s="106" t="s">
        <v>497</v>
      </c>
      <c r="C137" s="107" t="s">
        <v>168</v>
      </c>
      <c r="D137" s="53">
        <v>2.2000000000000002</v>
      </c>
      <c r="E137" s="139" t="s">
        <v>170</v>
      </c>
      <c r="F137" s="115" t="s">
        <v>172</v>
      </c>
    </row>
    <row r="138" spans="1:6" ht="18.75">
      <c r="A138" s="86"/>
      <c r="B138" s="51" t="s">
        <v>498</v>
      </c>
      <c r="C138" s="99" t="s">
        <v>169</v>
      </c>
      <c r="D138" s="76">
        <f>IF(CHVG_act="",CHVG_rec,CHVG_act)</f>
        <v>2.2000000000000002</v>
      </c>
      <c r="E138" s="64" t="s">
        <v>171</v>
      </c>
      <c r="F138" s="100"/>
    </row>
    <row r="139" spans="1:6" ht="18.75">
      <c r="A139" s="86"/>
      <c r="B139" s="51" t="s">
        <v>499</v>
      </c>
      <c r="C139" s="99" t="s">
        <v>386</v>
      </c>
      <c r="D139" s="76">
        <f>((IRUN_VDD*10^-3-Iwait_VDD*10^-3)*tD_RUN_PWML*10^-6)/(2*0.05)*10^6*1.2</f>
        <v>5.5439999999999996E-2</v>
      </c>
      <c r="E139" s="64" t="s">
        <v>387</v>
      </c>
      <c r="F139" s="100" t="s">
        <v>392</v>
      </c>
    </row>
    <row r="140" spans="1:6" ht="18.75">
      <c r="A140" s="86"/>
      <c r="B140" s="106" t="s">
        <v>500</v>
      </c>
      <c r="C140" s="107" t="s">
        <v>174</v>
      </c>
      <c r="D140" s="53">
        <v>0.1</v>
      </c>
      <c r="E140" s="140" t="s">
        <v>173</v>
      </c>
      <c r="F140" s="141" t="s">
        <v>176</v>
      </c>
    </row>
    <row r="141" spans="1:6" ht="19.5" thickBot="1">
      <c r="A141" s="86"/>
      <c r="B141" s="52" t="s">
        <v>501</v>
      </c>
      <c r="C141" s="102" t="s">
        <v>175</v>
      </c>
      <c r="D141" s="112">
        <f>IF(CREF_act="",CREF_rec,CREF_act)</f>
        <v>0.1</v>
      </c>
      <c r="E141" s="124" t="s">
        <v>173</v>
      </c>
      <c r="F141" s="125"/>
    </row>
    <row r="142" spans="1:6" ht="15.75" thickBot="1">
      <c r="A142" s="86"/>
      <c r="B142" s="87"/>
      <c r="C142" s="97"/>
      <c r="D142" s="88"/>
      <c r="E142" s="89"/>
      <c r="F142" s="90"/>
    </row>
    <row r="143" spans="1:6">
      <c r="A143" s="86"/>
      <c r="B143" s="116" t="s">
        <v>668</v>
      </c>
      <c r="C143" s="117"/>
      <c r="D143" s="118"/>
      <c r="E143" s="119"/>
      <c r="F143" s="120"/>
    </row>
    <row r="144" spans="1:6" ht="18.75">
      <c r="A144" s="86"/>
      <c r="B144" s="51" t="s">
        <v>502</v>
      </c>
      <c r="C144" s="99" t="s">
        <v>252</v>
      </c>
      <c r="D144" s="76">
        <f>((Qg_Qh*10^-9+(IVCC_qcc*10^-3)/(fBUR_LR*10^3))/((VDD-Vf_BootD-11)-ipk_BUR_min*(RCS+RDSon_QL)))*10^9</f>
        <v>2.27642895311801</v>
      </c>
      <c r="E144" s="402" t="s">
        <v>170</v>
      </c>
      <c r="F144" s="403"/>
    </row>
    <row r="145" spans="1:6" ht="18.75">
      <c r="A145" s="86"/>
      <c r="B145" s="51" t="s">
        <v>503</v>
      </c>
      <c r="C145" s="99" t="s">
        <v>258</v>
      </c>
      <c r="D145" s="76">
        <f>((0.1*(IVCC_qcc*10^-3)/fBUR_standyby)/(VDD-Vf_BootD-8.5))*10^9</f>
        <v>15.09433962264151</v>
      </c>
      <c r="E145" s="402" t="s">
        <v>170</v>
      </c>
      <c r="F145" s="403"/>
    </row>
    <row r="146" spans="1:6" ht="18.75">
      <c r="A146" s="86"/>
      <c r="B146" s="106" t="s">
        <v>504</v>
      </c>
      <c r="C146" s="107" t="s">
        <v>259</v>
      </c>
      <c r="D146" s="53">
        <v>10</v>
      </c>
      <c r="E146" s="140" t="s">
        <v>170</v>
      </c>
      <c r="F146" s="141" t="s">
        <v>366</v>
      </c>
    </row>
    <row r="147" spans="1:6" ht="16.149999999999999" customHeight="1">
      <c r="A147" s="86"/>
      <c r="B147" s="51" t="s">
        <v>505</v>
      </c>
      <c r="C147" s="99" t="s">
        <v>379</v>
      </c>
      <c r="D147" s="76">
        <f>(10*Cboot)*10^-3</f>
        <v>0.1</v>
      </c>
      <c r="E147" s="64" t="s">
        <v>562</v>
      </c>
      <c r="F147" s="100" t="s">
        <v>563</v>
      </c>
    </row>
    <row r="148" spans="1:6" ht="28.5">
      <c r="A148" s="86"/>
      <c r="B148" s="106" t="s">
        <v>506</v>
      </c>
      <c r="C148" s="107" t="s">
        <v>261</v>
      </c>
      <c r="D148" s="53">
        <v>0.1</v>
      </c>
      <c r="E148" s="140" t="s">
        <v>173</v>
      </c>
      <c r="F148" s="142" t="s">
        <v>595</v>
      </c>
    </row>
    <row r="149" spans="1:6" ht="18.75">
      <c r="A149" s="86"/>
      <c r="B149" s="51" t="s">
        <v>507</v>
      </c>
      <c r="C149" s="99" t="s">
        <v>380</v>
      </c>
      <c r="D149" s="76">
        <f>10*RCS</f>
        <v>5.6000000000000005</v>
      </c>
      <c r="E149" s="64" t="s">
        <v>564</v>
      </c>
      <c r="F149" s="100" t="s">
        <v>565</v>
      </c>
    </row>
    <row r="150" spans="1:6" ht="19.5" thickBot="1">
      <c r="A150" s="86"/>
      <c r="B150" s="110" t="s">
        <v>508</v>
      </c>
      <c r="C150" s="111" t="s">
        <v>262</v>
      </c>
      <c r="D150" s="156">
        <v>5.6</v>
      </c>
      <c r="E150" s="143" t="s">
        <v>564</v>
      </c>
      <c r="F150" s="144"/>
    </row>
    <row r="151" spans="1:6" ht="15.75" thickBot="1">
      <c r="A151" s="86"/>
      <c r="B151" s="87"/>
      <c r="C151" s="97"/>
      <c r="D151" s="88"/>
      <c r="E151" s="89"/>
      <c r="F151" s="90"/>
    </row>
    <row r="152" spans="1:6">
      <c r="A152" s="86"/>
      <c r="B152" s="116" t="s">
        <v>178</v>
      </c>
      <c r="C152" s="117"/>
      <c r="D152" s="118"/>
      <c r="E152" s="119"/>
      <c r="F152" s="120"/>
    </row>
    <row r="153" spans="1:6" ht="18.75">
      <c r="A153" s="86"/>
      <c r="B153" s="51" t="s">
        <v>509</v>
      </c>
      <c r="C153" s="99" t="s">
        <v>260</v>
      </c>
      <c r="D153" s="76">
        <f>(NA/NSS)*VOUT-Vf_Daux</f>
        <v>22.75</v>
      </c>
      <c r="E153" s="402" t="s">
        <v>149</v>
      </c>
      <c r="F153" s="403"/>
    </row>
    <row r="154" spans="1:6" ht="18.75">
      <c r="A154" s="86"/>
      <c r="B154" s="51" t="s">
        <v>510</v>
      </c>
      <c r="C154" s="99" t="s">
        <v>378</v>
      </c>
      <c r="D154" s="76">
        <f>(VDD-VDD_off)/IDaux_max</f>
        <v>10.36</v>
      </c>
      <c r="E154" s="402" t="s">
        <v>80</v>
      </c>
      <c r="F154" s="403"/>
    </row>
    <row r="155" spans="1:6" ht="18.75">
      <c r="A155" s="86"/>
      <c r="B155" s="145" t="s">
        <v>511</v>
      </c>
      <c r="C155" s="146" t="s">
        <v>180</v>
      </c>
      <c r="D155" s="158">
        <v>10.5</v>
      </c>
      <c r="E155" s="404" t="s">
        <v>80</v>
      </c>
      <c r="F155" s="405"/>
    </row>
    <row r="156" spans="1:6" ht="18.75">
      <c r="A156" s="86"/>
      <c r="B156" s="51" t="s">
        <v>512</v>
      </c>
      <c r="C156" s="99" t="s">
        <v>179</v>
      </c>
      <c r="D156" s="76">
        <f>IF(RDD1_act="",RDD1_rec,RDD1_act)</f>
        <v>10.5</v>
      </c>
      <c r="E156" s="402" t="s">
        <v>80</v>
      </c>
      <c r="F156" s="403"/>
    </row>
    <row r="157" spans="1:6" ht="18.75">
      <c r="A157" s="86"/>
      <c r="B157" s="51" t="s">
        <v>513</v>
      </c>
      <c r="C157" s="99" t="s">
        <v>182</v>
      </c>
      <c r="D157" s="132">
        <f>CHVG*10^-9*(VDD_on-VDD_off-Vth_Qs)/((Istart_HVG-15)*10^-6)*10^3</f>
        <v>0.16720000000000002</v>
      </c>
      <c r="E157" s="135" t="s">
        <v>181</v>
      </c>
      <c r="F157" s="136"/>
    </row>
    <row r="158" spans="1:6" ht="18.75">
      <c r="A158" s="86"/>
      <c r="B158" s="51" t="s">
        <v>514</v>
      </c>
      <c r="C158" s="99" t="s">
        <v>184</v>
      </c>
      <c r="D158" s="76">
        <f>IF(Vin_type="AC",((COUT*10^-6)*VOUT/(NPS*VCST_max*VINPUT_Brownout*1.414/(2*RCS*(VINPUT_Brownout*1.414+NPS*VOUT))-IOUT)+0.001)*10^3,((COUT*10^-6)*VOUT/(NPS*VCST_max*VINPUT_Brownout/(2*RCS*(VINPUT_Brownout+NPS*VOUT))-IOUT)+0.001)*10^3)</f>
        <v>42.474093342840263</v>
      </c>
      <c r="E158" s="133" t="s">
        <v>181</v>
      </c>
      <c r="F158" s="138"/>
    </row>
    <row r="159" spans="1:6" ht="18.75">
      <c r="A159" s="86"/>
      <c r="B159" s="106" t="s">
        <v>580</v>
      </c>
      <c r="C159" s="107" t="s">
        <v>581</v>
      </c>
      <c r="D159" s="53">
        <v>70</v>
      </c>
      <c r="E159" s="147" t="s">
        <v>582</v>
      </c>
      <c r="F159" s="148"/>
    </row>
    <row r="160" spans="1:6" ht="18.75">
      <c r="A160" s="86"/>
      <c r="B160" s="51" t="s">
        <v>515</v>
      </c>
      <c r="C160" s="99" t="s">
        <v>193</v>
      </c>
      <c r="D160" s="76">
        <f>(((IEN_VDD+IVCC_qcc)*THVG*10^-6+(IRUN_VDD+IVCC_sw)*(TSS_max+tD_RUN_PWML)*10^-6+CREF*5*10^-6)/(VDD_on-VDD_off))*10^6/((100-Drea_CDD1)/100)</f>
        <v>81.974658548135324</v>
      </c>
      <c r="E160" s="406" t="s">
        <v>52</v>
      </c>
      <c r="F160" s="407"/>
    </row>
    <row r="161" spans="1:6" ht="18.75">
      <c r="A161" s="86"/>
      <c r="B161" s="106" t="s">
        <v>516</v>
      </c>
      <c r="C161" s="107" t="s">
        <v>198</v>
      </c>
      <c r="D161" s="53">
        <v>88</v>
      </c>
      <c r="E161" s="140" t="s">
        <v>173</v>
      </c>
      <c r="F161" s="141"/>
    </row>
    <row r="162" spans="1:6" ht="19.5" thickBot="1">
      <c r="A162" s="86"/>
      <c r="B162" s="52" t="s">
        <v>517</v>
      </c>
      <c r="C162" s="102" t="s">
        <v>199</v>
      </c>
      <c r="D162" s="112">
        <f>IF(CDD1_act="",CDD1_rec,CDD1_act)</f>
        <v>88</v>
      </c>
      <c r="E162" s="124" t="s">
        <v>173</v>
      </c>
      <c r="F162" s="125"/>
    </row>
    <row r="163" spans="1:6" ht="15.75" thickBot="1">
      <c r="A163" s="86"/>
      <c r="B163" s="87"/>
      <c r="C163" s="97"/>
      <c r="D163" s="88"/>
      <c r="E163" s="89"/>
      <c r="F163" s="90"/>
    </row>
    <row r="164" spans="1:6">
      <c r="A164" s="86"/>
      <c r="B164" s="116" t="s">
        <v>203</v>
      </c>
      <c r="C164" s="117"/>
      <c r="D164" s="118"/>
      <c r="E164" s="119"/>
      <c r="F164" s="120"/>
    </row>
    <row r="165" spans="1:6" ht="18.75">
      <c r="A165" s="86"/>
      <c r="B165" s="51" t="s">
        <v>518</v>
      </c>
      <c r="C165" s="99" t="s">
        <v>204</v>
      </c>
      <c r="D165" s="76">
        <f>((VFB_max-VCE_sat_opto)/(IFB_max*10^-6)-RFB_int)/1000</f>
        <v>46.666666666666664</v>
      </c>
      <c r="E165" s="402" t="s">
        <v>266</v>
      </c>
      <c r="F165" s="403"/>
    </row>
    <row r="166" spans="1:6" ht="28.5">
      <c r="A166" s="86"/>
      <c r="B166" s="106" t="s">
        <v>519</v>
      </c>
      <c r="C166" s="107" t="s">
        <v>205</v>
      </c>
      <c r="D166" s="53">
        <v>22.1</v>
      </c>
      <c r="E166" s="140" t="s">
        <v>266</v>
      </c>
      <c r="F166" s="142" t="s">
        <v>207</v>
      </c>
    </row>
    <row r="167" spans="1:6" ht="18.75">
      <c r="A167" s="86"/>
      <c r="B167" s="51" t="s">
        <v>520</v>
      </c>
      <c r="C167" s="99" t="s">
        <v>206</v>
      </c>
      <c r="D167" s="76">
        <f>IF(RFB_act="",RFB_max,RFB_act)</f>
        <v>22.1</v>
      </c>
      <c r="E167" s="133" t="s">
        <v>266</v>
      </c>
      <c r="F167" s="134"/>
    </row>
    <row r="168" spans="1:6" ht="18.75">
      <c r="A168" s="86"/>
      <c r="B168" s="51" t="s">
        <v>521</v>
      </c>
      <c r="C168" s="99" t="s">
        <v>370</v>
      </c>
      <c r="D168" s="132">
        <v>100</v>
      </c>
      <c r="E168" s="133" t="s">
        <v>371</v>
      </c>
      <c r="F168" s="138"/>
    </row>
    <row r="169" spans="1:6" ht="28.5">
      <c r="A169" s="86"/>
      <c r="B169" s="51" t="s">
        <v>569</v>
      </c>
      <c r="C169" s="99" t="s">
        <v>570</v>
      </c>
      <c r="D169" s="132">
        <v>1</v>
      </c>
      <c r="E169" s="133" t="s">
        <v>572</v>
      </c>
      <c r="F169" s="149" t="s">
        <v>820</v>
      </c>
    </row>
    <row r="170" spans="1:6" ht="18.75">
      <c r="A170" s="86"/>
      <c r="B170" s="51" t="s">
        <v>522</v>
      </c>
      <c r="C170" s="99" t="s">
        <v>212</v>
      </c>
      <c r="D170" s="132">
        <f>VD_LED_off/(IKA_min*10^-6)/1000</f>
        <v>14.285714285714286</v>
      </c>
      <c r="E170" s="133" t="s">
        <v>266</v>
      </c>
      <c r="F170" s="399" t="s">
        <v>216</v>
      </c>
    </row>
    <row r="171" spans="1:6" ht="18.75">
      <c r="A171" s="86"/>
      <c r="B171" s="106" t="s">
        <v>524</v>
      </c>
      <c r="C171" s="107" t="s">
        <v>213</v>
      </c>
      <c r="D171" s="159">
        <v>14.3</v>
      </c>
      <c r="E171" s="147" t="s">
        <v>266</v>
      </c>
      <c r="F171" s="400"/>
    </row>
    <row r="172" spans="1:6" ht="18.75">
      <c r="A172" s="86"/>
      <c r="B172" s="51" t="s">
        <v>523</v>
      </c>
      <c r="C172" s="99" t="s">
        <v>214</v>
      </c>
      <c r="D172" s="76">
        <f>IF(Rbias2_act="",Rbias2_rec,Rbias2_act)</f>
        <v>14.3</v>
      </c>
      <c r="E172" s="133" t="s">
        <v>266</v>
      </c>
      <c r="F172" s="401"/>
    </row>
    <row r="173" spans="1:6" ht="18.75">
      <c r="A173" s="86"/>
      <c r="B173" s="60" t="s">
        <v>566</v>
      </c>
      <c r="C173" s="99" t="s">
        <v>217</v>
      </c>
      <c r="D173" s="76">
        <f>(VOUT-Vref_431-VD_LED)/(VD_LED/(Rbias2*1000)+(IFB_max*10^-6)/(CTRmin*KCTR_Temp))/1000</f>
        <v>59.969459962756055</v>
      </c>
      <c r="E173" s="133" t="s">
        <v>266</v>
      </c>
      <c r="F173" s="150"/>
    </row>
    <row r="174" spans="1:6" ht="18.75">
      <c r="A174" s="86"/>
      <c r="B174" s="60" t="s">
        <v>567</v>
      </c>
      <c r="C174" s="99" t="s">
        <v>218</v>
      </c>
      <c r="D174" s="76">
        <f>(CTRmax*_∆VO_ABM*10^-3/(10*10^-6))/1000</f>
        <v>16.000000000000004</v>
      </c>
      <c r="E174" s="133" t="s">
        <v>266</v>
      </c>
      <c r="F174" s="100"/>
    </row>
    <row r="175" spans="1:6" ht="18.75">
      <c r="A175" s="86"/>
      <c r="B175" s="60" t="s">
        <v>525</v>
      </c>
      <c r="C175" s="99" t="s">
        <v>228</v>
      </c>
      <c r="D175" s="76">
        <f>(KVC*68000*CTRmin/(KBUR_CST*2*3.141*Fcr_min*1000))/1000</f>
        <v>9.2494802538605536E-2</v>
      </c>
      <c r="E175" s="133" t="s">
        <v>284</v>
      </c>
      <c r="F175" s="100"/>
    </row>
    <row r="176" spans="1:6" ht="18.75">
      <c r="A176" s="86"/>
      <c r="B176" s="60" t="s">
        <v>526</v>
      </c>
      <c r="C176" s="99" t="s">
        <v>229</v>
      </c>
      <c r="D176" s="76">
        <f>MIN(Rbias1_max_SBP,Rbias1_max_ABM)</f>
        <v>16.000000000000004</v>
      </c>
      <c r="E176" s="133" t="s">
        <v>266</v>
      </c>
      <c r="F176" s="100"/>
    </row>
    <row r="177" spans="1:6" ht="19.5" thickBot="1">
      <c r="A177" s="86"/>
      <c r="B177" s="151" t="s">
        <v>527</v>
      </c>
      <c r="C177" s="111" t="s">
        <v>230</v>
      </c>
      <c r="D177" s="156">
        <v>11</v>
      </c>
      <c r="E177" s="152" t="s">
        <v>266</v>
      </c>
      <c r="F177" s="144"/>
    </row>
    <row r="178" spans="1:6" ht="15.75" thickBot="1">
      <c r="A178" s="86"/>
      <c r="B178" s="87"/>
      <c r="C178" s="97"/>
      <c r="D178" s="88"/>
      <c r="E178" s="89"/>
      <c r="F178" s="90"/>
    </row>
    <row r="179" spans="1:6">
      <c r="A179" s="86"/>
      <c r="B179" s="116" t="s">
        <v>263</v>
      </c>
      <c r="C179" s="117"/>
      <c r="D179" s="118"/>
      <c r="E179" s="119"/>
      <c r="F179" s="120"/>
    </row>
    <row r="180" spans="1:6">
      <c r="A180" s="86"/>
      <c r="B180" s="210" t="s">
        <v>568</v>
      </c>
      <c r="C180" s="395" t="str">
        <f>'Input Here'!C103</f>
        <v>ATL431</v>
      </c>
      <c r="D180" s="396"/>
      <c r="E180" s="255"/>
      <c r="F180" s="150"/>
    </row>
    <row r="181" spans="1:6" ht="18.75">
      <c r="A181" s="86"/>
      <c r="B181" s="210" t="s">
        <v>788</v>
      </c>
      <c r="C181" s="226" t="s">
        <v>789</v>
      </c>
      <c r="D181" s="218">
        <f>Vref_431/(500*Iref_431_max*10^-9)/1000</f>
        <v>33.333333333333329</v>
      </c>
      <c r="E181" s="255" t="s">
        <v>266</v>
      </c>
      <c r="F181" s="150"/>
    </row>
    <row r="182" spans="1:6" ht="18.75">
      <c r="A182" s="86"/>
      <c r="B182" s="153" t="s">
        <v>528</v>
      </c>
      <c r="C182" s="107" t="s">
        <v>267</v>
      </c>
      <c r="D182" s="53">
        <v>32.4</v>
      </c>
      <c r="E182" s="147" t="s">
        <v>266</v>
      </c>
      <c r="F182" s="115"/>
    </row>
    <row r="183" spans="1:6" ht="18.75">
      <c r="A183" s="86"/>
      <c r="B183" s="60" t="s">
        <v>529</v>
      </c>
      <c r="C183" s="99" t="s">
        <v>268</v>
      </c>
      <c r="D183" s="76">
        <f>IF(Rvo2_act="",Rvo2_rec,Rvo2_act)</f>
        <v>32.4</v>
      </c>
      <c r="E183" s="133" t="s">
        <v>266</v>
      </c>
      <c r="F183" s="100"/>
    </row>
    <row r="184" spans="1:6" ht="18.75">
      <c r="A184" s="86"/>
      <c r="B184" s="60" t="s">
        <v>530</v>
      </c>
      <c r="C184" s="99" t="s">
        <v>269</v>
      </c>
      <c r="D184" s="76">
        <f>(VOUT-Vref_431)/(Vref_431/(1000*Rvo2_)+Iref_431*10^-9)/1000</f>
        <v>382.1714117551096</v>
      </c>
      <c r="E184" s="133" t="s">
        <v>266</v>
      </c>
      <c r="F184" s="150"/>
    </row>
    <row r="185" spans="1:6" ht="18.75">
      <c r="A185" s="86"/>
      <c r="B185" s="153" t="s">
        <v>531</v>
      </c>
      <c r="C185" s="107" t="s">
        <v>270</v>
      </c>
      <c r="D185" s="53">
        <v>383</v>
      </c>
      <c r="E185" s="147" t="s">
        <v>266</v>
      </c>
      <c r="F185" s="115"/>
    </row>
    <row r="186" spans="1:6" ht="18.75">
      <c r="A186" s="86"/>
      <c r="B186" s="60" t="s">
        <v>532</v>
      </c>
      <c r="C186" s="99" t="s">
        <v>271</v>
      </c>
      <c r="D186" s="76">
        <f>IF(Rvo1_act="",Rvo1_rec,Rvo1_act)</f>
        <v>383</v>
      </c>
      <c r="E186" s="133" t="s">
        <v>266</v>
      </c>
      <c r="F186" s="100"/>
    </row>
    <row r="187" spans="1:6" ht="19.5" thickBot="1">
      <c r="A187" s="86"/>
      <c r="B187" s="52" t="s">
        <v>533</v>
      </c>
      <c r="C187" s="102" t="s">
        <v>272</v>
      </c>
      <c r="D187" s="112">
        <f>Vref_431*(Rvo1_+Rvo2_)/Rvo2_+Iref_431*10^-9*Rvo1_*1000</f>
        <v>32.06395913580247</v>
      </c>
      <c r="E187" s="397" t="s">
        <v>23</v>
      </c>
      <c r="F187" s="398"/>
    </row>
    <row r="188" spans="1:6" ht="15.75" thickBot="1">
      <c r="A188" s="86"/>
      <c r="B188" s="87"/>
      <c r="C188" s="97"/>
      <c r="D188" s="88"/>
      <c r="E188" s="89"/>
      <c r="F188" s="90"/>
    </row>
    <row r="189" spans="1:6">
      <c r="A189" s="86"/>
      <c r="B189" s="289" t="s">
        <v>643</v>
      </c>
      <c r="C189" s="117"/>
      <c r="D189" s="118"/>
      <c r="E189" s="290"/>
      <c r="F189" s="291"/>
    </row>
    <row r="190" spans="1:6">
      <c r="A190" s="86"/>
      <c r="B190" s="292" t="s">
        <v>644</v>
      </c>
      <c r="C190" s="293"/>
      <c r="D190" s="294"/>
      <c r="E190" s="295"/>
      <c r="F190" s="296"/>
    </row>
    <row r="191" spans="1:6" ht="18.75">
      <c r="A191" s="86"/>
      <c r="B191" s="60" t="s">
        <v>534</v>
      </c>
      <c r="C191" s="99" t="s">
        <v>274</v>
      </c>
      <c r="D191" s="76">
        <f>((fBUR_UP*1000*2-fp_opto*1000)/(2*3.141*Rbias1*1000*2*fBUR_UP*1000*fp_opto*1000))*10^9</f>
        <v>4.610972923799487</v>
      </c>
      <c r="E191" s="133" t="s">
        <v>273</v>
      </c>
      <c r="F191" s="150"/>
    </row>
    <row r="192" spans="1:6" ht="18.75">
      <c r="A192" s="86"/>
      <c r="B192" s="153" t="s">
        <v>535</v>
      </c>
      <c r="C192" s="107" t="s">
        <v>275</v>
      </c>
      <c r="D192" s="53">
        <v>4.7</v>
      </c>
      <c r="E192" s="147" t="s">
        <v>273</v>
      </c>
      <c r="F192" s="115"/>
    </row>
    <row r="193" spans="1:6" ht="18.75">
      <c r="A193" s="86"/>
      <c r="B193" s="60" t="s">
        <v>536</v>
      </c>
      <c r="C193" s="99" t="s">
        <v>276</v>
      </c>
      <c r="D193" s="76">
        <f>IF(Cdiff_act="",Cdiff_rec,Cdiff_act)</f>
        <v>4.7</v>
      </c>
      <c r="E193" s="133" t="s">
        <v>273</v>
      </c>
      <c r="F193" s="100"/>
    </row>
    <row r="194" spans="1:6" ht="18.75">
      <c r="A194" s="86"/>
      <c r="B194" s="60" t="s">
        <v>537</v>
      </c>
      <c r="C194" s="99" t="s">
        <v>277</v>
      </c>
      <c r="D194" s="76">
        <f>1/(2*3.141*2*fBUR_UP*1000*Cdiff*10^-9)</f>
        <v>498.0756349767039</v>
      </c>
      <c r="E194" s="133" t="s">
        <v>215</v>
      </c>
      <c r="F194" s="150"/>
    </row>
    <row r="195" spans="1:6" ht="18.75">
      <c r="A195" s="86"/>
      <c r="B195" s="153" t="s">
        <v>538</v>
      </c>
      <c r="C195" s="107" t="s">
        <v>278</v>
      </c>
      <c r="D195" s="53">
        <v>499</v>
      </c>
      <c r="E195" s="147" t="s">
        <v>215</v>
      </c>
      <c r="F195" s="115"/>
    </row>
    <row r="196" spans="1:6" ht="18.75">
      <c r="A196" s="86"/>
      <c r="B196" s="60" t="s">
        <v>539</v>
      </c>
      <c r="C196" s="99" t="s">
        <v>279</v>
      </c>
      <c r="D196" s="76">
        <f>IF(Rdiff_act="",Rdiff_rec,Rdiff_act)</f>
        <v>499</v>
      </c>
      <c r="E196" s="133" t="s">
        <v>80</v>
      </c>
      <c r="F196" s="100"/>
    </row>
    <row r="197" spans="1:6">
      <c r="A197" s="86"/>
      <c r="B197" s="185" t="s">
        <v>645</v>
      </c>
      <c r="C197" s="99"/>
      <c r="D197" s="76"/>
      <c r="E197" s="182"/>
      <c r="F197" s="150"/>
    </row>
    <row r="198" spans="1:6" ht="18.75">
      <c r="A198" s="86"/>
      <c r="B198" s="60" t="s">
        <v>540</v>
      </c>
      <c r="C198" s="99" t="s">
        <v>280</v>
      </c>
      <c r="D198" s="76">
        <f>(1/(Rvo1_*1000*2*3.141*Fcr_min*1000/10))*10^9</f>
        <v>0.10390664029931762</v>
      </c>
      <c r="E198" s="133" t="s">
        <v>273</v>
      </c>
      <c r="F198" s="150"/>
    </row>
    <row r="199" spans="1:6" ht="18.75">
      <c r="A199" s="86"/>
      <c r="B199" s="153" t="s">
        <v>541</v>
      </c>
      <c r="C199" s="107" t="s">
        <v>281</v>
      </c>
      <c r="D199" s="53">
        <v>0.1</v>
      </c>
      <c r="E199" s="147" t="s">
        <v>273</v>
      </c>
      <c r="F199" s="115"/>
    </row>
    <row r="200" spans="1:6" ht="18.75">
      <c r="A200" s="86"/>
      <c r="B200" s="60" t="s">
        <v>542</v>
      </c>
      <c r="C200" s="99" t="s">
        <v>282</v>
      </c>
      <c r="D200" s="76">
        <f>IF(Cint_act="",Cint_rec,Cint_act)</f>
        <v>0.1</v>
      </c>
      <c r="E200" s="133" t="s">
        <v>283</v>
      </c>
      <c r="F200" s="100"/>
    </row>
    <row r="201" spans="1:6" ht="19.5" thickBot="1">
      <c r="A201" s="86"/>
      <c r="B201" s="68" t="s">
        <v>543</v>
      </c>
      <c r="C201" s="102" t="s">
        <v>389</v>
      </c>
      <c r="D201" s="112">
        <v>0</v>
      </c>
      <c r="E201" s="124" t="s">
        <v>215</v>
      </c>
      <c r="F201" s="104"/>
    </row>
    <row r="202" spans="1:6">
      <c r="A202" s="86"/>
    </row>
    <row r="203" spans="1:6">
      <c r="A203" s="86"/>
    </row>
    <row r="204" spans="1:6">
      <c r="A204" s="86"/>
    </row>
    <row r="205" spans="1:6">
      <c r="A205" s="86"/>
    </row>
    <row r="206" spans="1:6">
      <c r="A206" s="86"/>
    </row>
    <row r="207" spans="1:6">
      <c r="A207" s="86"/>
    </row>
    <row r="208" spans="1:6">
      <c r="A208" s="86"/>
    </row>
    <row r="209" spans="1:1">
      <c r="A209" s="86"/>
    </row>
    <row r="210" spans="1:1">
      <c r="A210" s="86"/>
    </row>
    <row r="211" spans="1:1">
      <c r="A211" s="86"/>
    </row>
    <row r="212" spans="1:1">
      <c r="A212" s="86"/>
    </row>
    <row r="213" spans="1:1">
      <c r="A213" s="86"/>
    </row>
    <row r="214" spans="1:1">
      <c r="A214" s="86"/>
    </row>
    <row r="215" spans="1:1">
      <c r="A215" s="86"/>
    </row>
    <row r="216" spans="1:1">
      <c r="A216" s="86"/>
    </row>
    <row r="217" spans="1:1">
      <c r="A217" s="86"/>
    </row>
    <row r="218" spans="1:1">
      <c r="A218" s="86"/>
    </row>
    <row r="219" spans="1:1">
      <c r="A219" s="86"/>
    </row>
    <row r="220" spans="1:1">
      <c r="A220" s="86"/>
    </row>
    <row r="221" spans="1:1">
      <c r="A221" s="86"/>
    </row>
    <row r="222" spans="1:1">
      <c r="A222" s="86"/>
    </row>
    <row r="223" spans="1:1">
      <c r="A223" s="86"/>
    </row>
    <row r="224" spans="1:1">
      <c r="A224" s="86"/>
    </row>
    <row r="225" spans="1:1">
      <c r="A225" s="86"/>
    </row>
    <row r="226" spans="1:1">
      <c r="A226" s="86"/>
    </row>
    <row r="227" spans="1:1">
      <c r="A227" s="86"/>
    </row>
    <row r="228" spans="1:1">
      <c r="A228" s="86"/>
    </row>
    <row r="229" spans="1:1">
      <c r="A229" s="86"/>
    </row>
    <row r="230" spans="1:1">
      <c r="A230" s="86"/>
    </row>
    <row r="231" spans="1:1">
      <c r="A231" s="86"/>
    </row>
    <row r="232" spans="1:1">
      <c r="A232" s="86"/>
    </row>
    <row r="233" spans="1:1">
      <c r="A233" s="86"/>
    </row>
    <row r="234" spans="1:1">
      <c r="A234" s="86"/>
    </row>
    <row r="235" spans="1:1">
      <c r="A235" s="86"/>
    </row>
    <row r="236" spans="1:1">
      <c r="A236" s="86"/>
    </row>
    <row r="237" spans="1:1">
      <c r="A237" s="86"/>
    </row>
    <row r="238" spans="1:1">
      <c r="A238" s="86"/>
    </row>
    <row r="239" spans="1:1">
      <c r="A239" s="86"/>
    </row>
    <row r="240" spans="1:1">
      <c r="A240" s="86"/>
    </row>
    <row r="241" spans="1:1">
      <c r="A241" s="86"/>
    </row>
    <row r="242" spans="1:1">
      <c r="A242" s="86"/>
    </row>
    <row r="243" spans="1:1">
      <c r="A243" s="86"/>
    </row>
    <row r="244" spans="1:1">
      <c r="A244" s="86"/>
    </row>
    <row r="245" spans="1:1">
      <c r="A245" s="86"/>
    </row>
    <row r="246" spans="1:1">
      <c r="A246" s="86"/>
    </row>
    <row r="247" spans="1:1">
      <c r="A247" s="86"/>
    </row>
    <row r="248" spans="1:1">
      <c r="A248" s="86"/>
    </row>
    <row r="249" spans="1:1">
      <c r="A249" s="86"/>
    </row>
    <row r="250" spans="1:1">
      <c r="A250" s="86"/>
    </row>
    <row r="251" spans="1:1">
      <c r="A251" s="86"/>
    </row>
    <row r="252" spans="1:1">
      <c r="A252" s="86"/>
    </row>
    <row r="253" spans="1:1">
      <c r="A253" s="86"/>
    </row>
    <row r="254" spans="1:1">
      <c r="A254" s="86"/>
    </row>
    <row r="255" spans="1:1">
      <c r="A255" s="86"/>
    </row>
    <row r="256" spans="1:1">
      <c r="A256" s="86"/>
    </row>
    <row r="257" spans="1:1">
      <c r="A257" s="86"/>
    </row>
    <row r="258" spans="1:1">
      <c r="A258" s="86"/>
    </row>
    <row r="259" spans="1:1">
      <c r="A259" s="86"/>
    </row>
    <row r="260" spans="1:1">
      <c r="A260" s="86"/>
    </row>
    <row r="261" spans="1:1">
      <c r="A261" s="86"/>
    </row>
    <row r="262" spans="1:1">
      <c r="A262" s="86"/>
    </row>
    <row r="263" spans="1:1">
      <c r="A263" s="86"/>
    </row>
    <row r="264" spans="1:1">
      <c r="A264" s="86"/>
    </row>
    <row r="265" spans="1:1">
      <c r="A265" s="86"/>
    </row>
    <row r="266" spans="1:1">
      <c r="A266" s="86"/>
    </row>
    <row r="267" spans="1:1">
      <c r="A267" s="86"/>
    </row>
    <row r="268" spans="1:1">
      <c r="A268" s="86"/>
    </row>
    <row r="269" spans="1:1">
      <c r="A269" s="86"/>
    </row>
    <row r="270" spans="1:1">
      <c r="A270" s="86"/>
    </row>
    <row r="271" spans="1:1">
      <c r="A271" s="86"/>
    </row>
    <row r="272" spans="1:1">
      <c r="A272" s="86"/>
    </row>
    <row r="273" spans="1:1">
      <c r="A273" s="86"/>
    </row>
    <row r="274" spans="1:1">
      <c r="A274" s="86"/>
    </row>
    <row r="275" spans="1:1">
      <c r="A275" s="86"/>
    </row>
    <row r="276" spans="1:1">
      <c r="A276" s="86"/>
    </row>
    <row r="277" spans="1:1">
      <c r="A277" s="86"/>
    </row>
    <row r="278" spans="1:1">
      <c r="A278" s="86"/>
    </row>
    <row r="279" spans="1:1">
      <c r="A279" s="86"/>
    </row>
    <row r="280" spans="1:1">
      <c r="A280" s="86"/>
    </row>
    <row r="281" spans="1:1">
      <c r="A281" s="86"/>
    </row>
    <row r="282" spans="1:1">
      <c r="A282" s="86"/>
    </row>
    <row r="283" spans="1:1">
      <c r="A283" s="86"/>
    </row>
    <row r="284" spans="1:1">
      <c r="A284" s="86"/>
    </row>
    <row r="285" spans="1:1">
      <c r="A285" s="86"/>
    </row>
    <row r="286" spans="1:1">
      <c r="A286" s="86"/>
    </row>
    <row r="287" spans="1:1">
      <c r="A287" s="86"/>
    </row>
    <row r="288" spans="1:1">
      <c r="A288" s="86"/>
    </row>
    <row r="289" spans="1:1">
      <c r="A289" s="86"/>
    </row>
    <row r="290" spans="1:1">
      <c r="A290" s="86"/>
    </row>
    <row r="291" spans="1:1">
      <c r="A291" s="86"/>
    </row>
    <row r="292" spans="1:1">
      <c r="A292" s="86"/>
    </row>
    <row r="293" spans="1:1">
      <c r="A293" s="86"/>
    </row>
    <row r="294" spans="1:1">
      <c r="A294" s="86"/>
    </row>
    <row r="295" spans="1:1">
      <c r="A295" s="86"/>
    </row>
    <row r="296" spans="1:1">
      <c r="A296" s="86"/>
    </row>
    <row r="297" spans="1:1">
      <c r="A297" s="86"/>
    </row>
    <row r="298" spans="1:1">
      <c r="A298" s="86"/>
    </row>
    <row r="299" spans="1:1">
      <c r="A299" s="86"/>
    </row>
    <row r="300" spans="1:1">
      <c r="A300" s="86"/>
    </row>
    <row r="301" spans="1:1">
      <c r="A301" s="86"/>
    </row>
    <row r="302" spans="1:1">
      <c r="A302" s="86"/>
    </row>
    <row r="303" spans="1:1">
      <c r="A303" s="86"/>
    </row>
  </sheetData>
  <sheetProtection password="E9DD" sheet="1" objects="1" scenarios="1" selectLockedCells="1"/>
  <mergeCells count="66">
    <mergeCell ref="E38:F38"/>
    <mergeCell ref="E39:F39"/>
    <mergeCell ref="E55:F55"/>
    <mergeCell ref="E40:F40"/>
    <mergeCell ref="E53:F53"/>
    <mergeCell ref="E60:F60"/>
    <mergeCell ref="E63:F63"/>
    <mergeCell ref="E59:F59"/>
    <mergeCell ref="E58:F58"/>
    <mergeCell ref="E52:F52"/>
    <mergeCell ref="E61:F61"/>
    <mergeCell ref="E80:F80"/>
    <mergeCell ref="E85:F85"/>
    <mergeCell ref="B2:F2"/>
    <mergeCell ref="E3:F3"/>
    <mergeCell ref="E6:F6"/>
    <mergeCell ref="E7:F7"/>
    <mergeCell ref="E8:F8"/>
    <mergeCell ref="E4:F4"/>
    <mergeCell ref="E5:F5"/>
    <mergeCell ref="E10:F10"/>
    <mergeCell ref="E11:F11"/>
    <mergeCell ref="E25:F25"/>
    <mergeCell ref="B37:F37"/>
    <mergeCell ref="E22:F22"/>
    <mergeCell ref="B57:F57"/>
    <mergeCell ref="E79:F79"/>
    <mergeCell ref="E64:F64"/>
    <mergeCell ref="B66:F66"/>
    <mergeCell ref="E76:F76"/>
    <mergeCell ref="E77:F77"/>
    <mergeCell ref="E78:F78"/>
    <mergeCell ref="E135:F135"/>
    <mergeCell ref="E106:F106"/>
    <mergeCell ref="E108:F108"/>
    <mergeCell ref="E102:F102"/>
    <mergeCell ref="E120:F120"/>
    <mergeCell ref="E122:F122"/>
    <mergeCell ref="E128:F128"/>
    <mergeCell ref="E129:F129"/>
    <mergeCell ref="E130:F130"/>
    <mergeCell ref="E117:F117"/>
    <mergeCell ref="E121:F121"/>
    <mergeCell ref="E116:F116"/>
    <mergeCell ref="E118:F118"/>
    <mergeCell ref="E113:F113"/>
    <mergeCell ref="E114:F114"/>
    <mergeCell ref="E115:F115"/>
    <mergeCell ref="E95:F95"/>
    <mergeCell ref="E96:F96"/>
    <mergeCell ref="E87:F87"/>
    <mergeCell ref="E81:F81"/>
    <mergeCell ref="E93:F93"/>
    <mergeCell ref="E94:F94"/>
    <mergeCell ref="E92:F92"/>
    <mergeCell ref="C180:D180"/>
    <mergeCell ref="E187:F187"/>
    <mergeCell ref="F170:F172"/>
    <mergeCell ref="E144:F144"/>
    <mergeCell ref="E154:F154"/>
    <mergeCell ref="E156:F156"/>
    <mergeCell ref="E155:F155"/>
    <mergeCell ref="E160:F160"/>
    <mergeCell ref="E165:F165"/>
    <mergeCell ref="E145:F145"/>
    <mergeCell ref="E153:F153"/>
  </mergeCells>
  <phoneticPr fontId="25" type="noConversion"/>
  <pageMargins left="0.7" right="0.7" top="0.75" bottom="0.75" header="0.3" footer="0.3"/>
  <pageSetup orientation="portrait" r:id="rId1"/>
  <drawing r:id="rId2"/>
  <legacyDrawing r:id="rId3"/>
  <oleObjects>
    <mc:AlternateContent xmlns:mc="http://schemas.openxmlformats.org/markup-compatibility/2006">
      <mc:Choice Requires="x14">
        <oleObject progId="Visio.Drawing.15" shapeId="4173" r:id="rId4">
          <objectPr defaultSize="0" autoPict="0" r:id="rId5">
            <anchor moveWithCells="1">
              <from>
                <xdr:col>6</xdr:col>
                <xdr:colOff>47625</xdr:colOff>
                <xdr:row>65</xdr:row>
                <xdr:rowOff>9525</xdr:rowOff>
              </from>
              <to>
                <xdr:col>10</xdr:col>
                <xdr:colOff>723900</xdr:colOff>
                <xdr:row>73</xdr:row>
                <xdr:rowOff>9525</xdr:rowOff>
              </to>
            </anchor>
          </objectPr>
        </oleObject>
      </mc:Choice>
      <mc:Fallback>
        <oleObject progId="Visio.Drawing.15" shapeId="417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3:H127"/>
  <sheetViews>
    <sheetView zoomScaleNormal="100" workbookViewId="0">
      <selection activeCell="E40" sqref="E40"/>
    </sheetView>
  </sheetViews>
  <sheetFormatPr baseColWidth="10" defaultColWidth="9.140625" defaultRowHeight="15"/>
  <cols>
    <col min="1" max="1" width="4.28515625" customWidth="1"/>
    <col min="2" max="2" width="38.85546875" customWidth="1"/>
    <col min="3" max="3" width="40.42578125" customWidth="1"/>
    <col min="4" max="4" width="11.85546875" customWidth="1"/>
    <col min="5" max="5" width="5.42578125" customWidth="1"/>
    <col min="6" max="6" width="16.28515625" customWidth="1"/>
    <col min="7" max="7" width="14.140625" customWidth="1"/>
  </cols>
  <sheetData>
    <row r="3" spans="7:7" ht="42.75">
      <c r="G3" s="29" t="s">
        <v>369</v>
      </c>
    </row>
    <row r="5" spans="7:7">
      <c r="G5" s="166"/>
    </row>
    <row r="6" spans="7:7">
      <c r="G6" s="166"/>
    </row>
    <row r="9" spans="7:7" ht="18.75">
      <c r="G9" s="180"/>
    </row>
    <row r="17" spans="2:7" ht="15.75" thickBot="1"/>
    <row r="18" spans="2:7" ht="20.25">
      <c r="B18" s="443" t="s">
        <v>790</v>
      </c>
      <c r="C18" s="444"/>
      <c r="D18" s="444"/>
      <c r="E18" s="444"/>
      <c r="F18" s="445"/>
      <c r="G18" s="166"/>
    </row>
    <row r="19" spans="2:7" ht="18.75" thickBot="1">
      <c r="B19" s="16" t="s">
        <v>302</v>
      </c>
      <c r="C19" s="446" t="s">
        <v>303</v>
      </c>
      <c r="D19" s="446"/>
      <c r="E19" s="446"/>
      <c r="F19" s="447"/>
    </row>
    <row r="20" spans="2:7" ht="15.75" thickBot="1">
      <c r="B20" s="432"/>
      <c r="C20" s="433"/>
      <c r="D20" s="433"/>
      <c r="E20" s="433"/>
      <c r="F20" s="434"/>
      <c r="G20" s="166"/>
    </row>
    <row r="21" spans="2:7" ht="15" customHeight="1">
      <c r="B21" s="435" t="s">
        <v>305</v>
      </c>
      <c r="C21" s="17" t="s">
        <v>306</v>
      </c>
      <c r="D21" s="20">
        <f>RCS</f>
        <v>0.56000000000000005</v>
      </c>
      <c r="E21" s="18" t="s">
        <v>19</v>
      </c>
      <c r="F21" s="19" t="s">
        <v>307</v>
      </c>
    </row>
    <row r="22" spans="2:7" ht="15" customHeight="1" thickBot="1">
      <c r="B22" s="436"/>
      <c r="C22" s="25" t="s">
        <v>304</v>
      </c>
      <c r="D22" s="27">
        <f>PRcs</f>
        <v>0.14596259900455316</v>
      </c>
      <c r="E22" s="440" t="s">
        <v>11</v>
      </c>
      <c r="F22" s="441"/>
    </row>
    <row r="23" spans="2:7" ht="15.75" thickBot="1">
      <c r="B23" s="432"/>
      <c r="C23" s="433"/>
      <c r="D23" s="433"/>
      <c r="E23" s="433"/>
      <c r="F23" s="434"/>
    </row>
    <row r="24" spans="2:7" ht="19.5" thickBot="1">
      <c r="B24" s="23" t="s">
        <v>312</v>
      </c>
      <c r="C24" s="17" t="s">
        <v>306</v>
      </c>
      <c r="D24" s="18">
        <f>RFB</f>
        <v>22.1</v>
      </c>
      <c r="E24" s="18" t="s">
        <v>309</v>
      </c>
      <c r="F24" s="19" t="s">
        <v>307</v>
      </c>
    </row>
    <row r="25" spans="2:7" ht="15.75" thickBot="1">
      <c r="B25" s="432"/>
      <c r="C25" s="433"/>
      <c r="D25" s="433"/>
      <c r="E25" s="433"/>
      <c r="F25" s="434"/>
    </row>
    <row r="26" spans="2:7" ht="19.5" thickBot="1">
      <c r="B26" s="48" t="s">
        <v>313</v>
      </c>
      <c r="C26" s="17" t="s">
        <v>306</v>
      </c>
      <c r="D26" s="21">
        <f>RBLEED</f>
        <v>6.6</v>
      </c>
      <c r="E26" s="22" t="s">
        <v>314</v>
      </c>
      <c r="F26" s="19" t="s">
        <v>307</v>
      </c>
    </row>
    <row r="27" spans="2:7" ht="15.75" thickBot="1">
      <c r="B27" s="432"/>
      <c r="C27" s="433"/>
      <c r="D27" s="433"/>
      <c r="E27" s="433"/>
      <c r="F27" s="434"/>
    </row>
    <row r="28" spans="2:7" ht="19.5" thickBot="1">
      <c r="B28" s="48" t="s">
        <v>315</v>
      </c>
      <c r="C28" s="17" t="s">
        <v>306</v>
      </c>
      <c r="D28" s="21">
        <f>RVS_1</f>
        <v>48.7</v>
      </c>
      <c r="E28" s="22" t="s">
        <v>309</v>
      </c>
      <c r="F28" s="19" t="s">
        <v>307</v>
      </c>
    </row>
    <row r="29" spans="2:7" ht="15.75" thickBot="1">
      <c r="B29" s="432"/>
      <c r="C29" s="433"/>
      <c r="D29" s="433"/>
      <c r="E29" s="433"/>
      <c r="F29" s="434"/>
    </row>
    <row r="30" spans="2:7" ht="19.5" thickBot="1">
      <c r="B30" s="23" t="s">
        <v>316</v>
      </c>
      <c r="C30" s="17" t="s">
        <v>306</v>
      </c>
      <c r="D30" s="18">
        <f>RVS_2</f>
        <v>9.31</v>
      </c>
      <c r="E30" s="18" t="s">
        <v>309</v>
      </c>
      <c r="F30" s="19" t="s">
        <v>307</v>
      </c>
    </row>
    <row r="31" spans="2:7" ht="15.6" customHeight="1" thickBot="1">
      <c r="B31" s="432"/>
      <c r="C31" s="433"/>
      <c r="D31" s="433"/>
      <c r="E31" s="433"/>
      <c r="F31" s="434"/>
    </row>
    <row r="32" spans="2:7" ht="19.5" thickBot="1">
      <c r="B32" s="48" t="s">
        <v>317</v>
      </c>
      <c r="C32" s="17" t="s">
        <v>306</v>
      </c>
      <c r="D32" s="21">
        <f>R_OPP</f>
        <v>2750</v>
      </c>
      <c r="E32" s="18" t="s">
        <v>19</v>
      </c>
      <c r="F32" s="19" t="s">
        <v>307</v>
      </c>
    </row>
    <row r="33" spans="2:6" ht="15.75" thickBot="1">
      <c r="B33" s="432"/>
      <c r="C33" s="433"/>
      <c r="D33" s="433"/>
      <c r="E33" s="433"/>
      <c r="F33" s="434"/>
    </row>
    <row r="34" spans="2:6" ht="19.5" thickBot="1">
      <c r="B34" s="48" t="s">
        <v>318</v>
      </c>
      <c r="C34" s="17" t="s">
        <v>306</v>
      </c>
      <c r="D34" s="21">
        <f>RDM</f>
        <v>61.9</v>
      </c>
      <c r="E34" s="22" t="s">
        <v>309</v>
      </c>
      <c r="F34" s="19" t="s">
        <v>307</v>
      </c>
    </row>
    <row r="35" spans="2:6" ht="15.75" thickBot="1">
      <c r="B35" s="432"/>
      <c r="C35" s="433"/>
      <c r="D35" s="433"/>
      <c r="E35" s="433"/>
      <c r="F35" s="434"/>
    </row>
    <row r="36" spans="2:6" ht="19.5" thickBot="1">
      <c r="B36" s="23" t="s">
        <v>319</v>
      </c>
      <c r="C36" s="17" t="s">
        <v>306</v>
      </c>
      <c r="D36" s="18">
        <f>RTZ</f>
        <v>499</v>
      </c>
      <c r="E36" s="18" t="s">
        <v>309</v>
      </c>
      <c r="F36" s="19" t="s">
        <v>307</v>
      </c>
    </row>
    <row r="37" spans="2:6" ht="15.6" customHeight="1" thickBot="1">
      <c r="B37" s="432"/>
      <c r="C37" s="433"/>
      <c r="D37" s="433"/>
      <c r="E37" s="433"/>
      <c r="F37" s="434"/>
    </row>
    <row r="38" spans="2:6" ht="19.5" thickBot="1">
      <c r="B38" s="48" t="s">
        <v>320</v>
      </c>
      <c r="C38" s="17" t="s">
        <v>306</v>
      </c>
      <c r="D38" s="21">
        <f>RBUR1</f>
        <v>169</v>
      </c>
      <c r="E38" s="22" t="s">
        <v>309</v>
      </c>
      <c r="F38" s="19" t="s">
        <v>307</v>
      </c>
    </row>
    <row r="39" spans="2:6" ht="15" customHeight="1" thickBot="1">
      <c r="B39" s="432"/>
      <c r="C39" s="433"/>
      <c r="D39" s="433"/>
      <c r="E39" s="433"/>
      <c r="F39" s="434"/>
    </row>
    <row r="40" spans="2:6" ht="19.5" thickBot="1">
      <c r="B40" s="48" t="s">
        <v>321</v>
      </c>
      <c r="C40" s="17" t="s">
        <v>306</v>
      </c>
      <c r="D40" s="21">
        <f>RBUR2</f>
        <v>59.619</v>
      </c>
      <c r="E40" s="22" t="s">
        <v>309</v>
      </c>
      <c r="F40" s="19" t="s">
        <v>307</v>
      </c>
    </row>
    <row r="41" spans="2:6" ht="15.75" thickBot="1">
      <c r="B41" s="432"/>
      <c r="C41" s="433"/>
      <c r="D41" s="433"/>
      <c r="E41" s="433"/>
      <c r="F41" s="434"/>
    </row>
    <row r="42" spans="2:6" ht="19.5" thickBot="1">
      <c r="B42" s="23" t="s">
        <v>322</v>
      </c>
      <c r="C42" s="17" t="s">
        <v>306</v>
      </c>
      <c r="D42" s="18">
        <f>RSWS</f>
        <v>124</v>
      </c>
      <c r="E42" s="18" t="s">
        <v>19</v>
      </c>
      <c r="F42" s="19" t="s">
        <v>307</v>
      </c>
    </row>
    <row r="43" spans="2:6" ht="15.6" customHeight="1" thickBot="1">
      <c r="B43" s="432"/>
      <c r="C43" s="433"/>
      <c r="D43" s="433"/>
      <c r="E43" s="433"/>
      <c r="F43" s="434"/>
    </row>
    <row r="44" spans="2:6" ht="19.5" thickBot="1">
      <c r="B44" s="48" t="s">
        <v>323</v>
      </c>
      <c r="C44" s="17" t="s">
        <v>306</v>
      </c>
      <c r="D44" s="21">
        <f>RHVG</f>
        <v>1</v>
      </c>
      <c r="E44" s="22" t="s">
        <v>314</v>
      </c>
      <c r="F44" s="19" t="s">
        <v>307</v>
      </c>
    </row>
    <row r="45" spans="2:6" ht="15.75" thickBot="1">
      <c r="B45" s="432"/>
      <c r="C45" s="433"/>
      <c r="D45" s="433"/>
      <c r="E45" s="433"/>
      <c r="F45" s="434"/>
    </row>
    <row r="46" spans="2:6" ht="19.5" thickBot="1">
      <c r="B46" s="48" t="s">
        <v>324</v>
      </c>
      <c r="C46" s="17" t="s">
        <v>306</v>
      </c>
      <c r="D46" s="21">
        <f>RDD2_</f>
        <v>5.6</v>
      </c>
      <c r="E46" s="18" t="s">
        <v>19</v>
      </c>
      <c r="F46" s="19" t="s">
        <v>307</v>
      </c>
    </row>
    <row r="47" spans="2:6" ht="15.75" thickBot="1">
      <c r="B47" s="432"/>
      <c r="C47" s="433"/>
      <c r="D47" s="433"/>
      <c r="E47" s="433"/>
      <c r="F47" s="434"/>
    </row>
    <row r="48" spans="2:6" ht="19.5" thickBot="1">
      <c r="B48" s="23" t="s">
        <v>325</v>
      </c>
      <c r="C48" s="17" t="s">
        <v>306</v>
      </c>
      <c r="D48" s="18">
        <f>RDD_1</f>
        <v>10.5</v>
      </c>
      <c r="E48" s="18" t="s">
        <v>19</v>
      </c>
      <c r="F48" s="19" t="s">
        <v>307</v>
      </c>
    </row>
    <row r="49" spans="2:8" ht="15.6" customHeight="1" thickBot="1">
      <c r="B49" s="432"/>
      <c r="C49" s="433"/>
      <c r="D49" s="433"/>
      <c r="E49" s="433"/>
      <c r="F49" s="434"/>
    </row>
    <row r="50" spans="2:8" ht="19.5" thickBot="1">
      <c r="B50" s="48" t="s">
        <v>326</v>
      </c>
      <c r="C50" s="17" t="s">
        <v>306</v>
      </c>
      <c r="D50" s="21">
        <f>Rbias1</f>
        <v>11</v>
      </c>
      <c r="E50" s="22" t="s">
        <v>309</v>
      </c>
      <c r="F50" s="19" t="s">
        <v>307</v>
      </c>
    </row>
    <row r="51" spans="2:8" ht="15" customHeight="1" thickBot="1">
      <c r="B51" s="432"/>
      <c r="C51" s="433"/>
      <c r="D51" s="433"/>
      <c r="E51" s="433"/>
      <c r="F51" s="434"/>
    </row>
    <row r="52" spans="2:8" ht="19.5" thickBot="1">
      <c r="B52" s="48" t="s">
        <v>327</v>
      </c>
      <c r="C52" s="17" t="s">
        <v>306</v>
      </c>
      <c r="D52" s="21">
        <f>Rbias2</f>
        <v>14.3</v>
      </c>
      <c r="E52" s="22" t="s">
        <v>309</v>
      </c>
      <c r="F52" s="19" t="s">
        <v>307</v>
      </c>
    </row>
    <row r="53" spans="2:8" ht="15.75" thickBot="1">
      <c r="B53" s="432"/>
      <c r="C53" s="433"/>
      <c r="D53" s="433"/>
      <c r="E53" s="433"/>
      <c r="F53" s="434"/>
    </row>
    <row r="54" spans="2:8" ht="19.5" thickBot="1">
      <c r="B54" s="23" t="s">
        <v>328</v>
      </c>
      <c r="C54" s="17" t="s">
        <v>306</v>
      </c>
      <c r="D54" s="18">
        <f>Rvo1_</f>
        <v>383</v>
      </c>
      <c r="E54" s="18" t="s">
        <v>309</v>
      </c>
      <c r="F54" s="19" t="s">
        <v>307</v>
      </c>
    </row>
    <row r="55" spans="2:8" ht="15.75" thickBot="1">
      <c r="B55" s="432"/>
      <c r="C55" s="433"/>
      <c r="D55" s="433"/>
      <c r="E55" s="433"/>
      <c r="F55" s="434"/>
    </row>
    <row r="56" spans="2:8" ht="19.5" thickBot="1">
      <c r="B56" s="48" t="s">
        <v>329</v>
      </c>
      <c r="C56" s="17" t="s">
        <v>306</v>
      </c>
      <c r="D56" s="21">
        <f>Rvo2_</f>
        <v>32.4</v>
      </c>
      <c r="E56" s="22" t="s">
        <v>309</v>
      </c>
      <c r="F56" s="19" t="s">
        <v>307</v>
      </c>
    </row>
    <row r="57" spans="2:8" ht="15.75" thickBot="1">
      <c r="B57" s="432"/>
      <c r="C57" s="433"/>
      <c r="D57" s="433"/>
      <c r="E57" s="433"/>
      <c r="F57" s="434"/>
    </row>
    <row r="58" spans="2:8" ht="19.5" thickBot="1">
      <c r="B58" s="48" t="s">
        <v>571</v>
      </c>
      <c r="C58" s="17" t="s">
        <v>306</v>
      </c>
      <c r="D58" s="21">
        <f>RCOMP</f>
        <v>1</v>
      </c>
      <c r="E58" s="22" t="s">
        <v>314</v>
      </c>
      <c r="F58" s="19" t="s">
        <v>307</v>
      </c>
    </row>
    <row r="59" spans="2:8" ht="15.75" thickBot="1">
      <c r="B59" s="432"/>
      <c r="C59" s="433"/>
      <c r="D59" s="433"/>
      <c r="E59" s="433"/>
      <c r="F59" s="434"/>
    </row>
    <row r="60" spans="2:8" ht="19.5" thickBot="1">
      <c r="B60" s="48" t="s">
        <v>330</v>
      </c>
      <c r="C60" s="17" t="s">
        <v>306</v>
      </c>
      <c r="D60" s="21">
        <f>Rdiff</f>
        <v>499</v>
      </c>
      <c r="E60" s="18" t="s">
        <v>19</v>
      </c>
      <c r="F60" s="19" t="s">
        <v>307</v>
      </c>
    </row>
    <row r="61" spans="2:8" ht="15.75" thickBot="1">
      <c r="B61" s="432"/>
      <c r="C61" s="433"/>
      <c r="D61" s="433"/>
      <c r="E61" s="433"/>
      <c r="F61" s="434"/>
      <c r="G61" s="166"/>
    </row>
    <row r="62" spans="2:8">
      <c r="B62" s="435" t="s">
        <v>333</v>
      </c>
      <c r="C62" s="24" t="s">
        <v>308</v>
      </c>
      <c r="D62" s="437" t="s">
        <v>331</v>
      </c>
      <c r="E62" s="438"/>
      <c r="F62" s="439"/>
      <c r="G62" s="166"/>
    </row>
    <row r="63" spans="2:8">
      <c r="B63" s="436"/>
      <c r="C63" s="25" t="s">
        <v>306</v>
      </c>
      <c r="D63" s="26">
        <f>CBULK</f>
        <v>300</v>
      </c>
      <c r="E63" s="26" t="s">
        <v>173</v>
      </c>
      <c r="F63" s="28"/>
      <c r="H63" s="166"/>
    </row>
    <row r="64" spans="2:8" ht="15.75" thickBot="1">
      <c r="B64" s="436"/>
      <c r="C64" s="25" t="s">
        <v>332</v>
      </c>
      <c r="D64" s="26">
        <f>Vcin_rated</f>
        <v>200</v>
      </c>
      <c r="E64" s="440" t="s">
        <v>10</v>
      </c>
      <c r="F64" s="441"/>
    </row>
    <row r="65" spans="2:7" ht="15.75" thickBot="1">
      <c r="B65" s="432"/>
      <c r="C65" s="433"/>
      <c r="D65" s="433"/>
      <c r="E65" s="433"/>
      <c r="F65" s="434"/>
    </row>
    <row r="66" spans="2:7">
      <c r="B66" s="435" t="s">
        <v>334</v>
      </c>
      <c r="C66" s="24" t="s">
        <v>308</v>
      </c>
      <c r="D66" s="437" t="s">
        <v>331</v>
      </c>
      <c r="E66" s="438"/>
      <c r="F66" s="439"/>
      <c r="G66" s="166"/>
    </row>
    <row r="67" spans="2:7">
      <c r="B67" s="436"/>
      <c r="C67" s="25" t="s">
        <v>306</v>
      </c>
      <c r="D67" s="26">
        <f>COUT</f>
        <v>650</v>
      </c>
      <c r="E67" s="26" t="s">
        <v>173</v>
      </c>
      <c r="F67" s="28"/>
    </row>
    <row r="68" spans="2:7" ht="15.75" thickBot="1">
      <c r="B68" s="436"/>
      <c r="C68" s="25" t="s">
        <v>332</v>
      </c>
      <c r="D68" s="26">
        <f>VOUT*1.25</f>
        <v>40</v>
      </c>
      <c r="E68" s="440" t="s">
        <v>10</v>
      </c>
      <c r="F68" s="441"/>
      <c r="G68" s="166"/>
    </row>
    <row r="69" spans="2:7" ht="15.75" thickBot="1">
      <c r="B69" s="432"/>
      <c r="C69" s="433"/>
      <c r="D69" s="433"/>
      <c r="E69" s="433"/>
      <c r="F69" s="434"/>
    </row>
    <row r="70" spans="2:7">
      <c r="B70" s="435" t="s">
        <v>335</v>
      </c>
      <c r="C70" s="24" t="s">
        <v>308</v>
      </c>
      <c r="D70" s="437" t="s">
        <v>336</v>
      </c>
      <c r="E70" s="438"/>
      <c r="F70" s="439"/>
      <c r="G70" s="166"/>
    </row>
    <row r="71" spans="2:7">
      <c r="B71" s="436"/>
      <c r="C71" s="25" t="s">
        <v>306</v>
      </c>
      <c r="D71" s="26">
        <f>Cclamp</f>
        <v>0.44</v>
      </c>
      <c r="E71" s="26" t="s">
        <v>173</v>
      </c>
      <c r="F71" s="28"/>
    </row>
    <row r="72" spans="2:7" ht="15.75" thickBot="1">
      <c r="B72" s="436"/>
      <c r="C72" s="25" t="s">
        <v>332</v>
      </c>
      <c r="D72" s="26">
        <f>VOUT*NPS*2+50</f>
        <v>370</v>
      </c>
      <c r="E72" s="440" t="s">
        <v>10</v>
      </c>
      <c r="F72" s="441"/>
      <c r="G72" s="166"/>
    </row>
    <row r="73" spans="2:7" ht="15.75" thickBot="1">
      <c r="B73" s="432"/>
      <c r="C73" s="433"/>
      <c r="D73" s="433"/>
      <c r="E73" s="433"/>
      <c r="F73" s="434"/>
    </row>
    <row r="74" spans="2:7">
      <c r="B74" s="435" t="s">
        <v>337</v>
      </c>
      <c r="C74" s="24" t="s">
        <v>308</v>
      </c>
      <c r="D74" s="437" t="s">
        <v>336</v>
      </c>
      <c r="E74" s="438"/>
      <c r="F74" s="439"/>
      <c r="G74" s="166"/>
    </row>
    <row r="75" spans="2:7">
      <c r="B75" s="436"/>
      <c r="C75" s="25" t="s">
        <v>306</v>
      </c>
      <c r="D75" s="26">
        <f>CCS</f>
        <v>47</v>
      </c>
      <c r="E75" s="26" t="s">
        <v>338</v>
      </c>
      <c r="F75" s="28"/>
    </row>
    <row r="76" spans="2:7" ht="15.75" thickBot="1">
      <c r="B76" s="436"/>
      <c r="C76" s="25" t="s">
        <v>332</v>
      </c>
      <c r="D76" s="26">
        <v>50</v>
      </c>
      <c r="E76" s="440" t="s">
        <v>10</v>
      </c>
      <c r="F76" s="441"/>
    </row>
    <row r="77" spans="2:7" ht="15.75" thickBot="1">
      <c r="B77" s="432"/>
      <c r="C77" s="433"/>
      <c r="D77" s="433"/>
      <c r="E77" s="433"/>
      <c r="F77" s="434"/>
    </row>
    <row r="78" spans="2:7">
      <c r="B78" s="435" t="s">
        <v>339</v>
      </c>
      <c r="C78" s="24" t="s">
        <v>308</v>
      </c>
      <c r="D78" s="437" t="s">
        <v>336</v>
      </c>
      <c r="E78" s="438"/>
      <c r="F78" s="439"/>
      <c r="G78" s="166"/>
    </row>
    <row r="79" spans="2:7">
      <c r="B79" s="436"/>
      <c r="C79" s="25" t="s">
        <v>306</v>
      </c>
      <c r="D79" s="26">
        <f>CSWS</f>
        <v>22</v>
      </c>
      <c r="E79" s="26" t="s">
        <v>338</v>
      </c>
      <c r="F79" s="28"/>
    </row>
    <row r="80" spans="2:7" ht="15.75" thickBot="1">
      <c r="B80" s="436"/>
      <c r="C80" s="25" t="s">
        <v>332</v>
      </c>
      <c r="D80" s="26">
        <v>50</v>
      </c>
      <c r="E80" s="440" t="s">
        <v>10</v>
      </c>
      <c r="F80" s="441"/>
    </row>
    <row r="81" spans="2:7" ht="15.75" thickBot="1">
      <c r="B81" s="432"/>
      <c r="C81" s="433"/>
      <c r="D81" s="433"/>
      <c r="E81" s="433"/>
      <c r="F81" s="434"/>
    </row>
    <row r="82" spans="2:7">
      <c r="B82" s="435" t="s">
        <v>365</v>
      </c>
      <c r="C82" s="24" t="s">
        <v>308</v>
      </c>
      <c r="D82" s="437" t="s">
        <v>336</v>
      </c>
      <c r="E82" s="438"/>
      <c r="F82" s="439"/>
      <c r="G82" s="166"/>
    </row>
    <row r="83" spans="2:7">
      <c r="B83" s="436"/>
      <c r="C83" s="25" t="s">
        <v>306</v>
      </c>
      <c r="D83" s="26">
        <f>CBUR</f>
        <v>250</v>
      </c>
      <c r="E83" s="26" t="s">
        <v>26</v>
      </c>
      <c r="F83" s="28"/>
    </row>
    <row r="84" spans="2:7" ht="15.75" thickBot="1">
      <c r="B84" s="436"/>
      <c r="C84" s="25" t="s">
        <v>332</v>
      </c>
      <c r="D84" s="26">
        <v>50</v>
      </c>
      <c r="E84" s="440" t="s">
        <v>10</v>
      </c>
      <c r="F84" s="441"/>
      <c r="G84" s="166"/>
    </row>
    <row r="85" spans="2:7" ht="15.75" thickBot="1">
      <c r="B85" s="432"/>
      <c r="C85" s="433"/>
      <c r="D85" s="433"/>
      <c r="E85" s="433"/>
      <c r="F85" s="434"/>
    </row>
    <row r="86" spans="2:7">
      <c r="B86" s="435" t="s">
        <v>340</v>
      </c>
      <c r="C86" s="24" t="s">
        <v>308</v>
      </c>
      <c r="D86" s="437" t="s">
        <v>336</v>
      </c>
      <c r="E86" s="438"/>
      <c r="F86" s="439"/>
      <c r="G86" s="166"/>
    </row>
    <row r="87" spans="2:7">
      <c r="B87" s="436"/>
      <c r="C87" s="25" t="s">
        <v>306</v>
      </c>
      <c r="D87" s="26">
        <f>CHVG</f>
        <v>2.2000000000000002</v>
      </c>
      <c r="E87" s="26" t="s">
        <v>170</v>
      </c>
      <c r="F87" s="28"/>
    </row>
    <row r="88" spans="2:7" ht="15.75" thickBot="1">
      <c r="B88" s="436"/>
      <c r="C88" s="25" t="s">
        <v>332</v>
      </c>
      <c r="D88" s="26">
        <v>50</v>
      </c>
      <c r="E88" s="440" t="s">
        <v>10</v>
      </c>
      <c r="F88" s="441"/>
    </row>
    <row r="89" spans="2:7" ht="15.75" thickBot="1">
      <c r="B89" s="432"/>
      <c r="C89" s="433"/>
      <c r="D89" s="433"/>
      <c r="E89" s="433"/>
      <c r="F89" s="434"/>
    </row>
    <row r="90" spans="2:7">
      <c r="B90" s="435" t="s">
        <v>341</v>
      </c>
      <c r="C90" s="24" t="s">
        <v>308</v>
      </c>
      <c r="D90" s="437" t="s">
        <v>336</v>
      </c>
      <c r="E90" s="438"/>
      <c r="F90" s="439"/>
      <c r="G90" s="166"/>
    </row>
    <row r="91" spans="2:7">
      <c r="B91" s="436"/>
      <c r="C91" s="25" t="s">
        <v>306</v>
      </c>
      <c r="D91" s="26">
        <f>CREF</f>
        <v>0.1</v>
      </c>
      <c r="E91" s="26" t="s">
        <v>173</v>
      </c>
      <c r="F91" s="28"/>
    </row>
    <row r="92" spans="2:7" ht="15.75" thickBot="1">
      <c r="B92" s="436"/>
      <c r="C92" s="25" t="s">
        <v>332</v>
      </c>
      <c r="D92" s="26">
        <v>25</v>
      </c>
      <c r="E92" s="440" t="s">
        <v>10</v>
      </c>
      <c r="F92" s="441"/>
    </row>
    <row r="93" spans="2:7" ht="15.75" thickBot="1">
      <c r="B93" s="432"/>
      <c r="C93" s="433"/>
      <c r="D93" s="433"/>
      <c r="E93" s="433"/>
      <c r="F93" s="434"/>
    </row>
    <row r="94" spans="2:7">
      <c r="B94" s="435" t="s">
        <v>342</v>
      </c>
      <c r="C94" s="24" t="s">
        <v>308</v>
      </c>
      <c r="D94" s="437" t="s">
        <v>336</v>
      </c>
      <c r="E94" s="438"/>
      <c r="F94" s="439"/>
      <c r="G94" s="166"/>
    </row>
    <row r="95" spans="2:7">
      <c r="B95" s="436"/>
      <c r="C95" s="25" t="s">
        <v>306</v>
      </c>
      <c r="D95" s="26">
        <f>Cboot</f>
        <v>10</v>
      </c>
      <c r="E95" s="26" t="s">
        <v>170</v>
      </c>
      <c r="F95" s="28"/>
    </row>
    <row r="96" spans="2:7" ht="15.75" thickBot="1">
      <c r="B96" s="436"/>
      <c r="C96" s="25" t="s">
        <v>332</v>
      </c>
      <c r="D96" s="26">
        <v>50</v>
      </c>
      <c r="E96" s="440" t="s">
        <v>10</v>
      </c>
      <c r="F96" s="441"/>
      <c r="G96" s="166"/>
    </row>
    <row r="97" spans="2:7" ht="15.75" thickBot="1">
      <c r="B97" s="432"/>
      <c r="C97" s="433"/>
      <c r="D97" s="433"/>
      <c r="E97" s="433"/>
      <c r="F97" s="434"/>
    </row>
    <row r="98" spans="2:7">
      <c r="B98" s="435" t="s">
        <v>343</v>
      </c>
      <c r="C98" s="24" t="s">
        <v>308</v>
      </c>
      <c r="D98" s="437" t="s">
        <v>336</v>
      </c>
      <c r="E98" s="438"/>
      <c r="F98" s="439"/>
      <c r="G98" s="166"/>
    </row>
    <row r="99" spans="2:7">
      <c r="B99" s="436"/>
      <c r="C99" s="25" t="s">
        <v>306</v>
      </c>
      <c r="D99" s="26">
        <f>CDD2_</f>
        <v>0.1</v>
      </c>
      <c r="E99" s="26" t="s">
        <v>173</v>
      </c>
      <c r="F99" s="28"/>
    </row>
    <row r="100" spans="2:7" ht="15.75" thickBot="1">
      <c r="B100" s="436"/>
      <c r="C100" s="25" t="s">
        <v>332</v>
      </c>
      <c r="D100" s="26">
        <v>25</v>
      </c>
      <c r="E100" s="440" t="s">
        <v>10</v>
      </c>
      <c r="F100" s="441"/>
    </row>
    <row r="101" spans="2:7" ht="15.75" thickBot="1">
      <c r="B101" s="432"/>
      <c r="C101" s="433"/>
      <c r="D101" s="433"/>
      <c r="E101" s="433"/>
      <c r="F101" s="434"/>
    </row>
    <row r="102" spans="2:7">
      <c r="B102" s="435" t="s">
        <v>344</v>
      </c>
      <c r="C102" s="24" t="s">
        <v>308</v>
      </c>
      <c r="D102" s="437" t="s">
        <v>336</v>
      </c>
      <c r="E102" s="438"/>
      <c r="F102" s="439"/>
      <c r="G102" s="166"/>
    </row>
    <row r="103" spans="2:7">
      <c r="B103" s="436"/>
      <c r="C103" s="25" t="s">
        <v>306</v>
      </c>
      <c r="D103" s="26">
        <f>CDD_1</f>
        <v>88</v>
      </c>
      <c r="E103" s="26" t="s">
        <v>173</v>
      </c>
      <c r="F103" s="28"/>
    </row>
    <row r="104" spans="2:7" ht="15.75" thickBot="1">
      <c r="B104" s="436"/>
      <c r="C104" s="25" t="s">
        <v>332</v>
      </c>
      <c r="D104" s="26">
        <v>35</v>
      </c>
      <c r="E104" s="440" t="s">
        <v>10</v>
      </c>
      <c r="F104" s="441"/>
      <c r="G104" s="166"/>
    </row>
    <row r="105" spans="2:7" ht="15.75" thickBot="1">
      <c r="B105" s="432"/>
      <c r="C105" s="433"/>
      <c r="D105" s="433"/>
      <c r="E105" s="433"/>
      <c r="F105" s="434"/>
    </row>
    <row r="106" spans="2:7">
      <c r="B106" s="435" t="s">
        <v>345</v>
      </c>
      <c r="C106" s="24" t="s">
        <v>308</v>
      </c>
      <c r="D106" s="437" t="s">
        <v>336</v>
      </c>
      <c r="E106" s="438"/>
      <c r="F106" s="439"/>
      <c r="G106" s="166"/>
    </row>
    <row r="107" spans="2:7">
      <c r="B107" s="436"/>
      <c r="C107" s="25" t="s">
        <v>306</v>
      </c>
      <c r="D107" s="26">
        <f>Cdiff</f>
        <v>4.7</v>
      </c>
      <c r="E107" s="26" t="s">
        <v>170</v>
      </c>
      <c r="F107" s="28"/>
    </row>
    <row r="108" spans="2:7" ht="15.75" thickBot="1">
      <c r="B108" s="436"/>
      <c r="C108" s="25" t="s">
        <v>332</v>
      </c>
      <c r="D108" s="26">
        <v>50</v>
      </c>
      <c r="E108" s="440" t="s">
        <v>10</v>
      </c>
      <c r="F108" s="441"/>
    </row>
    <row r="109" spans="2:7" ht="15.75" thickBot="1">
      <c r="B109" s="432"/>
      <c r="C109" s="433"/>
      <c r="D109" s="433"/>
      <c r="E109" s="433"/>
      <c r="F109" s="434"/>
    </row>
    <row r="110" spans="2:7">
      <c r="B110" s="435" t="s">
        <v>398</v>
      </c>
      <c r="C110" s="24" t="s">
        <v>308</v>
      </c>
      <c r="D110" s="437" t="s">
        <v>336</v>
      </c>
      <c r="E110" s="438"/>
      <c r="F110" s="439"/>
      <c r="G110" s="166"/>
    </row>
    <row r="111" spans="2:7">
      <c r="B111" s="436"/>
      <c r="C111" s="25" t="s">
        <v>306</v>
      </c>
      <c r="D111" s="26">
        <f>CFB</f>
        <v>100</v>
      </c>
      <c r="E111" s="26" t="s">
        <v>375</v>
      </c>
      <c r="F111" s="28"/>
    </row>
    <row r="112" spans="2:7" ht="15.75" thickBot="1">
      <c r="B112" s="436"/>
      <c r="C112" s="25" t="s">
        <v>332</v>
      </c>
      <c r="D112" s="26">
        <v>50</v>
      </c>
      <c r="E112" s="440" t="s">
        <v>10</v>
      </c>
      <c r="F112" s="441"/>
    </row>
    <row r="113" spans="2:7" ht="15.75" thickBot="1">
      <c r="B113" s="432"/>
      <c r="C113" s="433"/>
      <c r="D113" s="433"/>
      <c r="E113" s="433"/>
      <c r="F113" s="434"/>
    </row>
    <row r="114" spans="2:7">
      <c r="B114" s="435" t="s">
        <v>346</v>
      </c>
      <c r="C114" s="24" t="s">
        <v>308</v>
      </c>
      <c r="D114" s="437" t="s">
        <v>336</v>
      </c>
      <c r="E114" s="438"/>
      <c r="F114" s="439"/>
      <c r="G114" s="166"/>
    </row>
    <row r="115" spans="2:7">
      <c r="B115" s="436"/>
      <c r="C115" s="25" t="s">
        <v>306</v>
      </c>
      <c r="D115" s="26">
        <f>Cint</f>
        <v>0.1</v>
      </c>
      <c r="E115" s="26" t="s">
        <v>170</v>
      </c>
      <c r="F115" s="28"/>
    </row>
    <row r="116" spans="2:7" ht="15.75" thickBot="1">
      <c r="B116" s="436"/>
      <c r="C116" s="25" t="s">
        <v>332</v>
      </c>
      <c r="D116" s="26">
        <v>50</v>
      </c>
      <c r="E116" s="440" t="s">
        <v>10</v>
      </c>
      <c r="F116" s="441"/>
    </row>
    <row r="117" spans="2:7" ht="15.75" thickBot="1">
      <c r="B117" s="432"/>
      <c r="C117" s="433"/>
      <c r="D117" s="433"/>
      <c r="E117" s="433"/>
      <c r="F117" s="434"/>
    </row>
    <row r="118" spans="2:7">
      <c r="B118" s="435" t="s">
        <v>347</v>
      </c>
      <c r="C118" s="256" t="s">
        <v>348</v>
      </c>
      <c r="D118" s="257">
        <f>LM</f>
        <v>300</v>
      </c>
      <c r="E118" s="258" t="s">
        <v>48</v>
      </c>
      <c r="F118" s="259"/>
      <c r="G118" s="166"/>
    </row>
    <row r="119" spans="2:7">
      <c r="B119" s="442"/>
      <c r="C119" s="256" t="s">
        <v>353</v>
      </c>
      <c r="D119" s="260">
        <f>LK_actual</f>
        <v>2.5</v>
      </c>
      <c r="E119" s="258" t="s">
        <v>48</v>
      </c>
      <c r="F119" s="259"/>
    </row>
    <row r="120" spans="2:7" ht="19.5">
      <c r="B120" s="436"/>
      <c r="C120" s="256" t="s">
        <v>349</v>
      </c>
      <c r="D120" s="261">
        <f>NPS</f>
        <v>5</v>
      </c>
      <c r="E120" s="258"/>
      <c r="F120" s="259" t="s">
        <v>791</v>
      </c>
    </row>
    <row r="121" spans="2:7">
      <c r="B121" s="436"/>
      <c r="C121" s="256" t="s">
        <v>646</v>
      </c>
      <c r="D121" s="261">
        <f>NA/NSS</f>
        <v>0.75</v>
      </c>
      <c r="E121" s="258"/>
      <c r="F121" s="259" t="s">
        <v>792</v>
      </c>
    </row>
    <row r="122" spans="2:7" ht="19.5">
      <c r="B122" s="436"/>
      <c r="C122" s="256" t="s">
        <v>350</v>
      </c>
      <c r="D122" s="262">
        <f>NP</f>
        <v>21</v>
      </c>
      <c r="E122" s="258"/>
      <c r="F122" s="259" t="s">
        <v>793</v>
      </c>
    </row>
    <row r="123" spans="2:7" ht="19.5">
      <c r="B123" s="436"/>
      <c r="C123" s="256" t="s">
        <v>351</v>
      </c>
      <c r="D123" s="262">
        <f>ROUND(NS, 0)</f>
        <v>4</v>
      </c>
      <c r="E123" s="258"/>
      <c r="F123" s="259" t="s">
        <v>794</v>
      </c>
      <c r="G123" s="166"/>
    </row>
    <row r="124" spans="2:7" ht="20.25" thickBot="1">
      <c r="B124" s="436"/>
      <c r="C124" s="263" t="s">
        <v>352</v>
      </c>
      <c r="D124" s="262">
        <f>ROUND(NA,0)</f>
        <v>3</v>
      </c>
      <c r="E124" s="258"/>
      <c r="F124" s="259" t="s">
        <v>795</v>
      </c>
      <c r="G124" s="166"/>
    </row>
    <row r="125" spans="2:7" ht="15.75" thickBot="1">
      <c r="B125" s="432"/>
      <c r="C125" s="433"/>
      <c r="D125" s="433"/>
      <c r="E125" s="433"/>
      <c r="F125" s="434"/>
      <c r="G125" s="166"/>
    </row>
    <row r="126" spans="2:7">
      <c r="B126" s="166"/>
    </row>
    <row r="127" spans="2:7">
      <c r="C127" s="166"/>
    </row>
  </sheetData>
  <sheetProtection password="E9DD" sheet="1" objects="1" scenarios="1" selectLockedCells="1"/>
  <mergeCells count="83">
    <mergeCell ref="B59:F59"/>
    <mergeCell ref="B18:F18"/>
    <mergeCell ref="C19:F19"/>
    <mergeCell ref="B20:F20"/>
    <mergeCell ref="E22:F22"/>
    <mergeCell ref="B21:B22"/>
    <mergeCell ref="B25:F25"/>
    <mergeCell ref="B23:F23"/>
    <mergeCell ref="B31:F31"/>
    <mergeCell ref="B33:F33"/>
    <mergeCell ref="B37:F37"/>
    <mergeCell ref="B35:F35"/>
    <mergeCell ref="B29:F29"/>
    <mergeCell ref="B66:B68"/>
    <mergeCell ref="D66:F66"/>
    <mergeCell ref="E68:F68"/>
    <mergeCell ref="B27:F27"/>
    <mergeCell ref="B39:F39"/>
    <mergeCell ref="B43:F43"/>
    <mergeCell ref="B53:F53"/>
    <mergeCell ref="B47:F47"/>
    <mergeCell ref="B41:F41"/>
    <mergeCell ref="B45:F45"/>
    <mergeCell ref="B49:F49"/>
    <mergeCell ref="B51:F51"/>
    <mergeCell ref="B55:F55"/>
    <mergeCell ref="B61:F61"/>
    <mergeCell ref="D62:F62"/>
    <mergeCell ref="B57:F57"/>
    <mergeCell ref="B62:B64"/>
    <mergeCell ref="E64:F64"/>
    <mergeCell ref="B89:F89"/>
    <mergeCell ref="B90:B92"/>
    <mergeCell ref="D90:F90"/>
    <mergeCell ref="E92:F92"/>
    <mergeCell ref="B69:F69"/>
    <mergeCell ref="B70:B72"/>
    <mergeCell ref="D70:F70"/>
    <mergeCell ref="E72:F72"/>
    <mergeCell ref="B73:F73"/>
    <mergeCell ref="B74:B76"/>
    <mergeCell ref="D74:F74"/>
    <mergeCell ref="E76:F76"/>
    <mergeCell ref="B77:F77"/>
    <mergeCell ref="B65:F65"/>
    <mergeCell ref="B101:F101"/>
    <mergeCell ref="B102:B104"/>
    <mergeCell ref="D102:F102"/>
    <mergeCell ref="E104:F104"/>
    <mergeCell ref="B78:B80"/>
    <mergeCell ref="D78:F78"/>
    <mergeCell ref="E80:F80"/>
    <mergeCell ref="B85:F85"/>
    <mergeCell ref="B86:B88"/>
    <mergeCell ref="D86:F86"/>
    <mergeCell ref="E88:F88"/>
    <mergeCell ref="B81:F81"/>
    <mergeCell ref="B82:B84"/>
    <mergeCell ref="D82:F82"/>
    <mergeCell ref="E84:F84"/>
    <mergeCell ref="B93:F93"/>
    <mergeCell ref="B94:B96"/>
    <mergeCell ref="D94:F94"/>
    <mergeCell ref="E96:F96"/>
    <mergeCell ref="B98:B100"/>
    <mergeCell ref="D98:F98"/>
    <mergeCell ref="E100:F100"/>
    <mergeCell ref="B97:F97"/>
    <mergeCell ref="B105:F105"/>
    <mergeCell ref="B125:F125"/>
    <mergeCell ref="B114:B116"/>
    <mergeCell ref="D114:F114"/>
    <mergeCell ref="E116:F116"/>
    <mergeCell ref="B117:F117"/>
    <mergeCell ref="B118:B124"/>
    <mergeCell ref="B106:B108"/>
    <mergeCell ref="D106:F106"/>
    <mergeCell ref="E108:F108"/>
    <mergeCell ref="B113:F113"/>
    <mergeCell ref="B109:F109"/>
    <mergeCell ref="B110:B112"/>
    <mergeCell ref="D110:F110"/>
    <mergeCell ref="E112:F112"/>
  </mergeCells>
  <phoneticPr fontId="25" type="noConversion"/>
  <pageMargins left="0.25" right="0.25" top="0.75" bottom="0.75" header="0.3" footer="0.3"/>
  <pageSetup scale="77"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R78"/>
  <sheetViews>
    <sheetView topLeftCell="A49" zoomScale="70" zoomScaleNormal="70" workbookViewId="0">
      <selection activeCell="E31" sqref="E31:G31"/>
    </sheetView>
  </sheetViews>
  <sheetFormatPr baseColWidth="10" defaultColWidth="9.140625" defaultRowHeight="15"/>
  <cols>
    <col min="1" max="1" width="4.42578125" customWidth="1"/>
    <col min="2" max="2" width="9" customWidth="1"/>
    <col min="3" max="3" width="14.140625" bestFit="1" customWidth="1"/>
    <col min="4" max="4" width="9" customWidth="1"/>
    <col min="9" max="9" width="10.28515625" bestFit="1" customWidth="1"/>
    <col min="15" max="15" width="10.28515625" bestFit="1" customWidth="1"/>
  </cols>
  <sheetData>
    <row r="2" spans="3:18" ht="27.75">
      <c r="C2" s="40" t="s">
        <v>796</v>
      </c>
      <c r="N2" s="166"/>
      <c r="R2" s="187"/>
    </row>
    <row r="19" spans="1:18">
      <c r="B19" s="31"/>
      <c r="C19" s="31"/>
      <c r="D19" s="31"/>
      <c r="E19" s="31"/>
      <c r="F19" s="32"/>
      <c r="G19" s="32"/>
      <c r="H19" s="32"/>
      <c r="I19" s="32"/>
      <c r="J19" s="32"/>
    </row>
    <row r="20" spans="1:18">
      <c r="B20" s="31"/>
      <c r="C20" s="31"/>
      <c r="D20" s="31"/>
      <c r="E20" s="31"/>
      <c r="F20" s="32"/>
      <c r="G20" s="32"/>
      <c r="H20" s="32"/>
      <c r="J20" s="32"/>
      <c r="K20" s="32"/>
    </row>
    <row r="21" spans="1:18" ht="17.25">
      <c r="B21" s="35" t="s">
        <v>401</v>
      </c>
      <c r="C21" s="35"/>
      <c r="D21" s="35"/>
      <c r="E21" s="35"/>
      <c r="F21" s="32"/>
      <c r="G21" s="32"/>
      <c r="I21" s="167"/>
    </row>
    <row r="22" spans="1:18">
      <c r="B22" s="450" t="s">
        <v>403</v>
      </c>
      <c r="C22" s="450"/>
      <c r="D22" s="450"/>
      <c r="E22" s="449" t="s">
        <v>586</v>
      </c>
      <c r="F22" s="449"/>
      <c r="G22" s="449"/>
      <c r="H22" s="34"/>
      <c r="I22" s="465"/>
      <c r="J22" s="466"/>
      <c r="K22" s="466"/>
      <c r="L22" s="466"/>
      <c r="M22" s="467"/>
    </row>
    <row r="23" spans="1:18">
      <c r="B23" s="450" t="s">
        <v>659</v>
      </c>
      <c r="C23" s="450"/>
      <c r="D23" s="450"/>
      <c r="E23" s="449">
        <v>80</v>
      </c>
      <c r="F23" s="449"/>
      <c r="G23" s="449"/>
      <c r="H23" s="49" t="s">
        <v>399</v>
      </c>
      <c r="I23" s="264" t="s">
        <v>657</v>
      </c>
      <c r="J23" s="264"/>
      <c r="K23" s="264"/>
      <c r="L23" s="264"/>
      <c r="M23" s="265"/>
    </row>
    <row r="24" spans="1:18">
      <c r="A24" s="32"/>
      <c r="B24" s="448" t="s">
        <v>400</v>
      </c>
      <c r="C24" s="448"/>
      <c r="D24" s="448"/>
      <c r="E24" s="451">
        <f>(((NPS^2)/(4*(3.14^2)*LK_actual*10^-6*(fsw_OPP_min*1000)^2))*10^6)/((100-Co1_dec)/100)</f>
        <v>59.977323279175927</v>
      </c>
      <c r="F24" s="451"/>
      <c r="G24" s="451"/>
      <c r="H24" s="33" t="s">
        <v>173</v>
      </c>
      <c r="I24" s="462"/>
      <c r="J24" s="463"/>
      <c r="K24" s="463"/>
      <c r="L24" s="463"/>
      <c r="M24" s="464"/>
    </row>
    <row r="25" spans="1:18">
      <c r="A25" s="32"/>
      <c r="B25" s="448" t="s">
        <v>658</v>
      </c>
      <c r="C25" s="448"/>
      <c r="D25" s="448"/>
      <c r="E25" s="449">
        <v>66</v>
      </c>
      <c r="F25" s="449"/>
      <c r="G25" s="449"/>
      <c r="H25" s="33" t="s">
        <v>173</v>
      </c>
      <c r="I25" s="264" t="s">
        <v>404</v>
      </c>
      <c r="J25" s="264"/>
      <c r="K25" s="264"/>
      <c r="L25" s="264"/>
      <c r="M25" s="264"/>
    </row>
    <row r="26" spans="1:18">
      <c r="A26" s="32"/>
      <c r="B26" s="269"/>
      <c r="C26" s="269"/>
      <c r="D26" s="269"/>
      <c r="E26" s="32"/>
      <c r="F26" s="32"/>
      <c r="G26" s="32"/>
      <c r="H26" s="32"/>
      <c r="I26" s="266"/>
      <c r="J26" s="267"/>
      <c r="K26" s="268"/>
      <c r="L26" s="268"/>
      <c r="M26" s="268"/>
    </row>
    <row r="27" spans="1:18">
      <c r="A27" s="32"/>
      <c r="B27" s="448" t="s">
        <v>799</v>
      </c>
      <c r="C27" s="448"/>
      <c r="D27" s="448"/>
      <c r="E27" s="451">
        <f>(1/((2*3.14*1000*fsw_OPP_min)^2*Co_1*(100-Co1_dec)/100*10^-6)-1/((2*3.14*1000*fsw_OPP_min)^2*COUT*10^-6)-0.0001*RCO/(2*3.14*fsw_OPP_min*1000))*10^6*10</f>
        <v>0.61648323983902875</v>
      </c>
      <c r="F27" s="451"/>
      <c r="G27" s="451"/>
      <c r="H27" s="33" t="s">
        <v>402</v>
      </c>
      <c r="I27" s="470"/>
      <c r="J27" s="471"/>
      <c r="K27" s="471"/>
      <c r="L27" s="471"/>
      <c r="M27" s="472"/>
      <c r="N27" s="166"/>
      <c r="P27" s="169"/>
      <c r="R27" s="187"/>
    </row>
    <row r="28" spans="1:18">
      <c r="A28" s="32"/>
      <c r="B28" s="448" t="s">
        <v>405</v>
      </c>
      <c r="C28" s="448"/>
      <c r="D28" s="448"/>
      <c r="E28" s="449">
        <v>1</v>
      </c>
      <c r="F28" s="449"/>
      <c r="G28" s="449"/>
      <c r="H28" s="33" t="s">
        <v>402</v>
      </c>
      <c r="I28" s="470"/>
      <c r="J28" s="471"/>
      <c r="K28" s="471"/>
      <c r="L28" s="471"/>
      <c r="M28" s="472"/>
      <c r="N28" s="166"/>
    </row>
    <row r="29" spans="1:18">
      <c r="A29" s="32"/>
      <c r="B29" s="269"/>
      <c r="C29" s="269"/>
      <c r="D29" s="269"/>
      <c r="E29" s="32"/>
      <c r="F29" s="32"/>
      <c r="G29" s="32"/>
      <c r="H29" s="32"/>
      <c r="I29" s="267"/>
      <c r="J29" s="267"/>
      <c r="K29" s="268"/>
      <c r="L29" s="268"/>
      <c r="M29" s="268"/>
    </row>
    <row r="30" spans="1:18" ht="18.75">
      <c r="A30" s="32"/>
      <c r="B30" s="448" t="s">
        <v>800</v>
      </c>
      <c r="C30" s="448"/>
      <c r="D30" s="448"/>
      <c r="E30" s="451">
        <f>Lo*0.13</f>
        <v>0.13</v>
      </c>
      <c r="F30" s="451"/>
      <c r="G30" s="451"/>
      <c r="H30" s="33" t="s">
        <v>402</v>
      </c>
      <c r="I30" s="454" t="s">
        <v>797</v>
      </c>
      <c r="J30" s="455"/>
      <c r="K30" s="455"/>
      <c r="L30" s="455"/>
      <c r="M30" s="456"/>
      <c r="N30" s="166"/>
      <c r="P30" s="187"/>
    </row>
    <row r="31" spans="1:18" ht="18.75">
      <c r="A31" s="32"/>
      <c r="B31" s="448" t="s">
        <v>801</v>
      </c>
      <c r="C31" s="448"/>
      <c r="D31" s="448"/>
      <c r="E31" s="449">
        <v>0.68</v>
      </c>
      <c r="F31" s="449"/>
      <c r="G31" s="449"/>
      <c r="H31" s="33" t="s">
        <v>402</v>
      </c>
      <c r="I31" s="264" t="s">
        <v>404</v>
      </c>
      <c r="J31" s="264"/>
      <c r="K31" s="264"/>
      <c r="L31" s="264"/>
      <c r="M31" s="264"/>
      <c r="N31" s="166"/>
    </row>
    <row r="32" spans="1:18" ht="18.75">
      <c r="A32" s="32"/>
      <c r="B32" s="448" t="s">
        <v>802</v>
      </c>
      <c r="C32" s="448"/>
      <c r="D32" s="448"/>
      <c r="E32" s="453">
        <f>SQRT(Lo/(Co_1*(100-Co1_dec)/100))</f>
        <v>0.27524094128159016</v>
      </c>
      <c r="F32" s="453"/>
      <c r="G32" s="453"/>
      <c r="H32" s="33" t="s">
        <v>80</v>
      </c>
      <c r="I32" s="454" t="s">
        <v>798</v>
      </c>
      <c r="J32" s="455"/>
      <c r="K32" s="455"/>
      <c r="L32" s="455"/>
      <c r="M32" s="456"/>
      <c r="N32" s="177"/>
      <c r="R32" s="187"/>
    </row>
    <row r="33" spans="1:17" ht="16.149999999999999" customHeight="1">
      <c r="A33" s="32"/>
      <c r="B33" s="448" t="s">
        <v>803</v>
      </c>
      <c r="C33" s="448"/>
      <c r="D33" s="448"/>
      <c r="E33" s="449">
        <v>0.67</v>
      </c>
      <c r="F33" s="449"/>
      <c r="G33" s="449"/>
      <c r="H33" s="33" t="s">
        <v>660</v>
      </c>
      <c r="I33" s="457"/>
      <c r="J33" s="458"/>
      <c r="K33" s="458"/>
      <c r="L33" s="458"/>
      <c r="M33" s="459"/>
      <c r="N33" s="166"/>
      <c r="Q33" s="187"/>
    </row>
    <row r="34" spans="1:17">
      <c r="A34" s="32"/>
      <c r="B34" s="36"/>
      <c r="C34" s="36"/>
      <c r="D34" s="36"/>
      <c r="I34" s="32"/>
      <c r="J34" s="32"/>
      <c r="K34" s="32"/>
      <c r="L34" s="32"/>
      <c r="M34" s="32"/>
    </row>
    <row r="35" spans="1:17" ht="18.75">
      <c r="B35" s="38" t="s">
        <v>804</v>
      </c>
      <c r="C35" s="270"/>
      <c r="E35" s="461" t="s">
        <v>556</v>
      </c>
      <c r="F35" s="461"/>
      <c r="G35" s="461"/>
      <c r="H35" s="37">
        <f>Lo*0.13</f>
        <v>0.13</v>
      </c>
      <c r="I35" s="37" t="s">
        <v>21</v>
      </c>
      <c r="J35" s="168"/>
      <c r="K35" s="168"/>
      <c r="L35" s="168"/>
      <c r="M35" s="168"/>
      <c r="N35" s="37"/>
      <c r="O35" s="37"/>
      <c r="P35" s="37"/>
    </row>
    <row r="36" spans="1:17" ht="18.75" customHeight="1">
      <c r="D36" s="186"/>
      <c r="E36" s="37" t="s">
        <v>557</v>
      </c>
      <c r="F36" s="37"/>
      <c r="G36" s="37"/>
      <c r="H36" s="37"/>
      <c r="I36" s="37"/>
      <c r="J36" s="37"/>
      <c r="K36" s="37"/>
      <c r="L36" s="37"/>
      <c r="M36" s="37"/>
      <c r="N36" s="37"/>
      <c r="O36" s="168"/>
      <c r="P36" s="37"/>
    </row>
    <row r="37" spans="1:17">
      <c r="O37" s="166"/>
    </row>
    <row r="50" spans="2:14">
      <c r="B50" s="37"/>
      <c r="C50" s="37"/>
      <c r="D50" s="37"/>
      <c r="E50" s="37"/>
      <c r="F50" s="37"/>
      <c r="G50" s="37"/>
      <c r="H50" s="37"/>
      <c r="I50" s="37"/>
      <c r="J50" s="37"/>
      <c r="K50" s="37"/>
      <c r="L50" s="37"/>
      <c r="M50" s="37"/>
      <c r="N50" s="37"/>
    </row>
    <row r="51" spans="2:14" ht="18.75">
      <c r="B51" s="37"/>
      <c r="C51" s="37"/>
      <c r="D51" s="37"/>
      <c r="E51" s="37" t="s">
        <v>558</v>
      </c>
      <c r="F51" s="37"/>
      <c r="G51" s="37"/>
      <c r="H51" s="37"/>
      <c r="I51" s="37"/>
      <c r="J51" s="37"/>
      <c r="K51" s="37"/>
      <c r="L51" s="37"/>
      <c r="M51" s="37"/>
      <c r="N51" s="37"/>
    </row>
    <row r="52" spans="2:14">
      <c r="B52" s="37"/>
      <c r="C52" s="37"/>
      <c r="D52" s="37"/>
      <c r="E52" s="37"/>
      <c r="F52" s="37"/>
      <c r="G52" s="37"/>
      <c r="H52" s="37"/>
      <c r="I52" s="37"/>
      <c r="J52" s="37"/>
      <c r="K52" s="37"/>
      <c r="L52" s="37"/>
      <c r="M52" s="37"/>
      <c r="N52" s="37"/>
    </row>
    <row r="53" spans="2:14">
      <c r="B53" s="38" t="s">
        <v>805</v>
      </c>
      <c r="C53" s="84"/>
      <c r="D53" s="187"/>
      <c r="E53" s="37"/>
      <c r="F53" s="37"/>
      <c r="G53" s="37"/>
      <c r="H53" s="37"/>
      <c r="I53" s="37"/>
      <c r="J53" s="37"/>
      <c r="K53" s="37"/>
      <c r="L53" s="37"/>
      <c r="M53" s="37"/>
      <c r="N53" s="37"/>
    </row>
    <row r="54" spans="2:14">
      <c r="B54" s="39" t="s">
        <v>559</v>
      </c>
      <c r="C54" s="39"/>
      <c r="D54" s="39"/>
      <c r="E54" s="39"/>
      <c r="F54" s="39"/>
      <c r="G54" s="39"/>
      <c r="H54" s="39"/>
      <c r="I54" s="39"/>
      <c r="J54" s="37"/>
      <c r="K54" s="37"/>
      <c r="L54" s="37"/>
      <c r="M54" s="37"/>
      <c r="N54" s="37"/>
    </row>
    <row r="55" spans="2:14">
      <c r="B55" s="39" t="s">
        <v>368</v>
      </c>
      <c r="C55" s="39"/>
      <c r="D55" s="39"/>
      <c r="E55" s="39"/>
      <c r="F55" s="37"/>
      <c r="G55" s="37"/>
      <c r="H55" s="37"/>
      <c r="I55" s="37"/>
      <c r="J55" s="37"/>
      <c r="K55" s="37"/>
      <c r="L55" s="37"/>
      <c r="M55" s="37"/>
      <c r="N55" s="37"/>
    </row>
    <row r="56" spans="2:14">
      <c r="B56" s="37"/>
      <c r="C56" s="37"/>
      <c r="D56" s="37"/>
      <c r="E56" s="37"/>
      <c r="F56" s="37"/>
      <c r="G56" s="37"/>
      <c r="H56" s="37"/>
      <c r="I56" s="37"/>
      <c r="J56" s="37"/>
      <c r="K56" s="37"/>
      <c r="L56" s="37"/>
      <c r="M56" s="37"/>
      <c r="N56" s="37"/>
    </row>
    <row r="57" spans="2:14" ht="18.75">
      <c r="B57" s="37"/>
      <c r="C57" s="37"/>
      <c r="D57" s="37"/>
      <c r="E57" s="37"/>
      <c r="F57" s="37"/>
      <c r="G57" s="37"/>
      <c r="H57" s="460" t="s">
        <v>573</v>
      </c>
      <c r="I57" s="460"/>
      <c r="J57" s="37"/>
      <c r="K57" s="37"/>
      <c r="L57" s="37"/>
      <c r="M57" s="37"/>
      <c r="N57" s="37"/>
    </row>
    <row r="70" spans="1:15">
      <c r="A70" s="270"/>
      <c r="B70" s="270"/>
      <c r="C70" s="270"/>
      <c r="D70" s="270"/>
      <c r="E70" s="270"/>
    </row>
    <row r="71" spans="1:15">
      <c r="A71" s="270"/>
      <c r="B71" s="452" t="s">
        <v>806</v>
      </c>
      <c r="C71" s="452"/>
      <c r="D71" s="452"/>
      <c r="E71" s="270"/>
    </row>
    <row r="72" spans="1:15" ht="54" customHeight="1">
      <c r="A72" s="270"/>
      <c r="B72" s="271"/>
      <c r="C72" s="169" t="s">
        <v>807</v>
      </c>
      <c r="D72" s="270"/>
      <c r="E72" s="270"/>
      <c r="J72" s="268"/>
      <c r="K72" s="469" t="s">
        <v>808</v>
      </c>
      <c r="L72" s="469"/>
      <c r="M72" s="469"/>
      <c r="N72" s="469"/>
      <c r="O72" s="166"/>
    </row>
    <row r="73" spans="1:15">
      <c r="K73" s="268"/>
      <c r="L73" s="268"/>
      <c r="M73" s="268"/>
      <c r="N73" s="268"/>
      <c r="O73" s="268"/>
    </row>
    <row r="74" spans="1:15">
      <c r="K74" s="268"/>
      <c r="L74" s="268"/>
      <c r="M74" s="268"/>
      <c r="N74" s="268"/>
      <c r="O74" s="268"/>
    </row>
    <row r="75" spans="1:15" ht="60.6" customHeight="1">
      <c r="K75" s="468" t="s">
        <v>809</v>
      </c>
      <c r="L75" s="468"/>
      <c r="M75" s="468"/>
      <c r="N75" s="468"/>
      <c r="O75" s="272"/>
    </row>
    <row r="76" spans="1:15">
      <c r="K76" s="268"/>
      <c r="L76" s="268"/>
      <c r="M76" s="268"/>
      <c r="N76" s="268"/>
      <c r="O76" s="268"/>
    </row>
    <row r="77" spans="1:15">
      <c r="K77" s="268"/>
      <c r="L77" s="268"/>
      <c r="M77" s="268"/>
      <c r="N77" s="268"/>
      <c r="O77" s="268"/>
    </row>
    <row r="78" spans="1:15" ht="18.75">
      <c r="E78" s="37" t="s">
        <v>574</v>
      </c>
    </row>
  </sheetData>
  <sheetProtection password="E9DD" sheet="1" objects="1" scenarios="1" selectLockedCells="1"/>
  <mergeCells count="32">
    <mergeCell ref="I24:M24"/>
    <mergeCell ref="I22:M22"/>
    <mergeCell ref="K75:N75"/>
    <mergeCell ref="K72:N72"/>
    <mergeCell ref="I30:M30"/>
    <mergeCell ref="I28:M28"/>
    <mergeCell ref="I27:M27"/>
    <mergeCell ref="B71:D71"/>
    <mergeCell ref="B32:D32"/>
    <mergeCell ref="E32:G32"/>
    <mergeCell ref="I32:M32"/>
    <mergeCell ref="B33:D33"/>
    <mergeCell ref="E33:G33"/>
    <mergeCell ref="I33:M33"/>
    <mergeCell ref="H57:I57"/>
    <mergeCell ref="E35:G35"/>
    <mergeCell ref="B31:D31"/>
    <mergeCell ref="E31:G31"/>
    <mergeCell ref="B22:D22"/>
    <mergeCell ref="B23:D23"/>
    <mergeCell ref="E23:G23"/>
    <mergeCell ref="E22:G22"/>
    <mergeCell ref="B24:D24"/>
    <mergeCell ref="E24:G24"/>
    <mergeCell ref="B25:D25"/>
    <mergeCell ref="E25:G25"/>
    <mergeCell ref="B30:D30"/>
    <mergeCell ref="E30:G30"/>
    <mergeCell ref="B27:D27"/>
    <mergeCell ref="E27:G27"/>
    <mergeCell ref="B28:D28"/>
    <mergeCell ref="E28:G28"/>
  </mergeCells>
  <phoneticPr fontId="25"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S28"/>
  <sheetViews>
    <sheetView zoomScale="120" zoomScaleNormal="120" workbookViewId="0">
      <selection activeCell="B6" sqref="B6"/>
    </sheetView>
  </sheetViews>
  <sheetFormatPr baseColWidth="10" defaultColWidth="9.140625" defaultRowHeight="15"/>
  <cols>
    <col min="2" max="2" width="11.85546875" bestFit="1" customWidth="1"/>
    <col min="3" max="3" width="3.28515625" customWidth="1"/>
    <col min="5" max="5" width="9.140625" bestFit="1" customWidth="1"/>
    <col min="6" max="6" width="3" bestFit="1" customWidth="1"/>
    <col min="11" max="11" width="15.5703125" customWidth="1"/>
  </cols>
  <sheetData>
    <row r="2" spans="1:19" ht="28.5">
      <c r="A2" s="188"/>
      <c r="E2" s="188" t="s">
        <v>674</v>
      </c>
      <c r="L2" s="187"/>
      <c r="M2" s="187"/>
      <c r="S2" s="187"/>
    </row>
    <row r="3" spans="1:19" ht="28.5">
      <c r="A3" s="268"/>
      <c r="B3" s="268"/>
      <c r="C3" s="268"/>
      <c r="D3" s="268"/>
      <c r="E3" s="273"/>
      <c r="F3" s="268"/>
      <c r="G3" s="268"/>
      <c r="H3" s="188" t="s">
        <v>675</v>
      </c>
      <c r="I3" s="273"/>
      <c r="J3" s="273"/>
      <c r="K3" s="273"/>
    </row>
    <row r="4" spans="1:19">
      <c r="A4" s="268"/>
      <c r="B4" s="268"/>
      <c r="C4" s="268"/>
      <c r="D4" s="268"/>
      <c r="E4" s="268"/>
      <c r="F4" s="268"/>
      <c r="G4" s="268"/>
      <c r="H4" s="268"/>
      <c r="I4" s="268"/>
      <c r="J4" s="268"/>
      <c r="K4" s="268"/>
    </row>
    <row r="5" spans="1:19">
      <c r="A5" s="274" t="s">
        <v>654</v>
      </c>
      <c r="B5" s="275">
        <f>NA</f>
        <v>3</v>
      </c>
      <c r="C5" s="276" t="s">
        <v>672</v>
      </c>
      <c r="D5" s="277"/>
      <c r="E5" s="464" t="s">
        <v>656</v>
      </c>
      <c r="F5" s="474"/>
      <c r="G5" s="474"/>
      <c r="H5" s="268"/>
      <c r="I5" s="268"/>
      <c r="J5" s="268"/>
      <c r="K5" s="268"/>
      <c r="M5" s="189"/>
      <c r="N5" s="187"/>
    </row>
    <row r="6" spans="1:19">
      <c r="A6" s="274" t="s">
        <v>655</v>
      </c>
      <c r="B6" s="275">
        <v>13</v>
      </c>
      <c r="C6" s="278" t="s">
        <v>673</v>
      </c>
      <c r="D6" s="279"/>
      <c r="E6" s="280"/>
      <c r="F6" s="268"/>
      <c r="G6" s="268"/>
      <c r="H6" s="268"/>
      <c r="I6" s="268"/>
      <c r="J6" s="268"/>
      <c r="K6" s="268"/>
    </row>
    <row r="7" spans="1:19">
      <c r="A7" s="274" t="s">
        <v>589</v>
      </c>
      <c r="B7" s="281">
        <f>NSS</f>
        <v>4</v>
      </c>
      <c r="C7" s="282" t="s">
        <v>673</v>
      </c>
      <c r="D7" s="283"/>
      <c r="E7" s="280"/>
      <c r="F7" s="280"/>
      <c r="G7" s="268"/>
      <c r="H7" s="268"/>
      <c r="I7" s="268"/>
      <c r="J7" s="268"/>
      <c r="K7" s="268"/>
    </row>
    <row r="8" spans="1:19">
      <c r="A8" s="274" t="s">
        <v>594</v>
      </c>
      <c r="B8" s="284">
        <f>RBUR1</f>
        <v>169</v>
      </c>
      <c r="C8" s="285" t="s">
        <v>647</v>
      </c>
      <c r="D8" s="280"/>
      <c r="E8" s="280"/>
      <c r="F8" s="280"/>
      <c r="G8" s="268"/>
      <c r="H8" s="268"/>
      <c r="I8" s="268"/>
      <c r="J8" s="268"/>
      <c r="K8" s="268"/>
    </row>
    <row r="9" spans="1:19">
      <c r="A9" s="274" t="s">
        <v>648</v>
      </c>
      <c r="B9" s="275">
        <v>20</v>
      </c>
      <c r="C9" s="274" t="s">
        <v>591</v>
      </c>
      <c r="D9" s="274" t="s">
        <v>652</v>
      </c>
      <c r="E9" s="286">
        <v>0.97499999999999998</v>
      </c>
      <c r="F9" s="274" t="s">
        <v>591</v>
      </c>
      <c r="G9" s="473" t="s">
        <v>650</v>
      </c>
      <c r="H9" s="474"/>
      <c r="I9" s="474"/>
      <c r="J9" s="475" t="s">
        <v>653</v>
      </c>
      <c r="K9" s="476"/>
    </row>
    <row r="10" spans="1:19">
      <c r="A10" s="274" t="s">
        <v>649</v>
      </c>
      <c r="B10" s="275">
        <v>5</v>
      </c>
      <c r="C10" s="274" t="s">
        <v>591</v>
      </c>
      <c r="D10" s="274" t="s">
        <v>590</v>
      </c>
      <c r="E10" s="286">
        <v>0.84199999999999997</v>
      </c>
      <c r="F10" s="274" t="s">
        <v>591</v>
      </c>
      <c r="G10" s="473" t="s">
        <v>651</v>
      </c>
      <c r="H10" s="474"/>
      <c r="I10" s="474"/>
      <c r="J10" s="476"/>
      <c r="K10" s="476"/>
    </row>
    <row r="11" spans="1:19">
      <c r="A11" s="280"/>
      <c r="B11" s="280"/>
      <c r="C11" s="280"/>
      <c r="D11" s="280"/>
      <c r="E11" s="280"/>
      <c r="F11" s="280"/>
      <c r="G11" s="268"/>
      <c r="H11" s="268"/>
      <c r="I11" s="268"/>
      <c r="J11" s="268"/>
      <c r="K11" s="268"/>
    </row>
    <row r="12" spans="1:19">
      <c r="A12" s="280" t="s">
        <v>592</v>
      </c>
      <c r="B12" s="312">
        <f>(Na1_+Na2_)*B8*(Vbur2*Vomax-Vbur1*Vomin)/-(5*NS_*(Vbur1-Vbur2)+(Na1_+Na2_)*(5*(Vomin-Vomax)+(Vbur2*Vomax-Vbur1*Vomin)))</f>
        <v>32.163594790734663</v>
      </c>
      <c r="C12" s="280" t="s">
        <v>647</v>
      </c>
      <c r="D12" s="280"/>
      <c r="E12" s="280"/>
      <c r="F12" s="280"/>
      <c r="G12" s="268"/>
      <c r="H12" s="268"/>
      <c r="I12" s="268"/>
      <c r="J12" s="268"/>
      <c r="K12" s="268"/>
    </row>
    <row r="13" spans="1:19">
      <c r="A13" s="280" t="s">
        <v>593</v>
      </c>
      <c r="B13" s="312">
        <f>(Na1_+Na2_)*B8*(Vbur2*Vomax-Vbur1*Vomin)/(5*NS_*(Vbur1-Vbur2))/1000</f>
        <v>12.162917293233082</v>
      </c>
      <c r="C13" s="280" t="s">
        <v>829</v>
      </c>
      <c r="D13" s="280"/>
      <c r="E13" s="280"/>
      <c r="F13" s="280"/>
      <c r="G13" s="268"/>
      <c r="H13" s="268"/>
      <c r="I13" s="268"/>
      <c r="J13" s="268"/>
      <c r="K13" s="268"/>
    </row>
    <row r="15" spans="1:19" ht="18.75">
      <c r="A15" s="84" t="s">
        <v>598</v>
      </c>
      <c r="B15" s="84"/>
      <c r="C15" s="37"/>
      <c r="D15" s="37"/>
      <c r="E15" s="37"/>
      <c r="F15" s="37"/>
    </row>
    <row r="16" spans="1:19">
      <c r="A16" s="37" t="s">
        <v>596</v>
      </c>
      <c r="B16" s="37"/>
      <c r="C16" s="37"/>
      <c r="D16" s="37"/>
      <c r="E16" s="37"/>
      <c r="F16" s="37"/>
    </row>
    <row r="17" spans="1:10">
      <c r="A17" s="37" t="s">
        <v>597</v>
      </c>
      <c r="B17" s="37"/>
      <c r="C17" s="37"/>
      <c r="D17" s="37"/>
      <c r="E17" s="37"/>
      <c r="F17" s="37"/>
    </row>
    <row r="20" spans="1:10">
      <c r="B20" s="166"/>
      <c r="G20" s="187"/>
    </row>
    <row r="21" spans="1:10">
      <c r="B21" s="166"/>
      <c r="G21" s="187"/>
    </row>
    <row r="22" spans="1:10">
      <c r="B22" s="166"/>
      <c r="G22" s="187"/>
    </row>
    <row r="23" spans="1:10">
      <c r="B23" s="166"/>
      <c r="J23" s="187"/>
    </row>
    <row r="28" spans="1:10">
      <c r="G28" s="190"/>
    </row>
  </sheetData>
  <sheetProtection password="E9DD" sheet="1" objects="1" scenarios="1" selectLockedCells="1"/>
  <mergeCells count="4">
    <mergeCell ref="G9:I9"/>
    <mergeCell ref="G10:I10"/>
    <mergeCell ref="J9:K10"/>
    <mergeCell ref="E5:G5"/>
  </mergeCells>
  <phoneticPr fontId="25" type="noConversion"/>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5"/>
  <sheetViews>
    <sheetView zoomScale="80" zoomScaleNormal="80" workbookViewId="0">
      <selection activeCell="J29" sqref="J29"/>
    </sheetView>
  </sheetViews>
  <sheetFormatPr baseColWidth="10" defaultColWidth="9.140625" defaultRowHeight="15"/>
  <cols>
    <col min="1" max="1" width="5.28515625" customWidth="1"/>
    <col min="2" max="2" width="61.140625" customWidth="1"/>
    <col min="3" max="3" width="18.7109375" customWidth="1"/>
    <col min="4" max="4" width="13.5703125" customWidth="1"/>
    <col min="6" max="6" width="21.28515625" customWidth="1"/>
  </cols>
  <sheetData>
    <row r="1" spans="1:8" ht="15.75" thickBot="1">
      <c r="B1" s="166"/>
      <c r="F1" s="170"/>
      <c r="G1" s="169"/>
    </row>
    <row r="2" spans="1:8">
      <c r="B2" s="477" t="s">
        <v>133</v>
      </c>
      <c r="C2" s="478"/>
      <c r="D2" s="478"/>
      <c r="E2" s="478"/>
      <c r="F2" s="479"/>
      <c r="G2" s="166"/>
      <c r="H2" s="166"/>
    </row>
    <row r="3" spans="1:8" ht="18.75">
      <c r="A3" s="30"/>
      <c r="B3" s="10" t="s">
        <v>289</v>
      </c>
      <c r="C3" s="11" t="s">
        <v>286</v>
      </c>
      <c r="D3" s="12">
        <f>SQRT(LK_actual/(Cclamp*((100-Drea_clamp)/100)))*(ID_SR_max*0.9)/NPS</f>
        <v>124.07622290716738</v>
      </c>
      <c r="E3" s="13" t="s">
        <v>23</v>
      </c>
      <c r="F3" s="171"/>
      <c r="G3" s="166"/>
      <c r="H3" s="166"/>
    </row>
    <row r="4" spans="1:8" ht="18.75">
      <c r="A4" s="30"/>
      <c r="B4" s="10" t="s">
        <v>290</v>
      </c>
      <c r="C4" s="11" t="s">
        <v>288</v>
      </c>
      <c r="D4" s="12">
        <f>SQRT(LK_actual/(Cclamp*((100-Drea_clamp)/100)))*(IQH_max*0.9)</f>
        <v>30.465144017384848</v>
      </c>
      <c r="E4" s="13" t="s">
        <v>23</v>
      </c>
      <c r="F4" s="171"/>
      <c r="G4" s="169"/>
      <c r="H4" s="166"/>
    </row>
    <row r="5" spans="1:8" ht="19.5" thickBot="1">
      <c r="A5" s="30"/>
      <c r="B5" s="6" t="s">
        <v>291</v>
      </c>
      <c r="C5" s="3" t="s">
        <v>287</v>
      </c>
      <c r="D5" s="4">
        <f>MIN(Vclamp_max_SR,Vclamp_max_QH)</f>
        <v>30.465144017384848</v>
      </c>
      <c r="E5" s="42" t="s">
        <v>23</v>
      </c>
      <c r="F5" s="172"/>
      <c r="G5" s="166"/>
      <c r="H5" s="166"/>
    </row>
    <row r="6" spans="1:8" ht="15.75" thickBot="1">
      <c r="G6" s="166"/>
      <c r="H6" s="166"/>
    </row>
    <row r="7" spans="1:8">
      <c r="B7" s="45" t="s">
        <v>74</v>
      </c>
      <c r="C7" s="46"/>
      <c r="D7" s="46"/>
      <c r="E7" s="46"/>
      <c r="F7" s="47"/>
      <c r="G7" s="166"/>
      <c r="H7" s="166"/>
    </row>
    <row r="8" spans="1:8" ht="18.75">
      <c r="B8" s="5" t="s">
        <v>238</v>
      </c>
      <c r="C8" s="9" t="s">
        <v>237</v>
      </c>
      <c r="D8" s="8">
        <f>SQRT(IM_nega_run^2+2*(PO_FL*OPP*0.01/ηXFMR)*(1/(fsw_OPP_run*1000*LM*10^-6)))</f>
        <v>1.1960502147376595</v>
      </c>
      <c r="E8" s="41" t="s">
        <v>50</v>
      </c>
      <c r="F8" s="173"/>
      <c r="G8" s="166"/>
      <c r="H8" s="166"/>
    </row>
    <row r="9" spans="1:8" ht="18.75">
      <c r="B9" s="5" t="s">
        <v>102</v>
      </c>
      <c r="C9" s="9" t="s">
        <v>88</v>
      </c>
      <c r="D9" s="8">
        <f>IF(Vin_type="AC",(VINPUT_Brownin*1.414*DOPP_run^2)/(2*(LM*10^-6)*IIN_OPP_run-DOPP_run*(LM*10^-6)*(IM_nega_run)+DOPP_run*VINPUT_Brownin*1.414*0.5*3.141*SQRT((LM*10^-6)*(CSW_T_nor*10^-12)))/1000,(VINPUT_Brownin*DOPP_run^2)/(2*(LM*10^-6)*IIN_OPP_run-DOPP_run*(LM*10^-6)*(IM_nega_run)+DOPP_run*VINPUT_Brownin*0.5*3.141*SQRT((LM*10^-6)*(CSW_T_nor*10^-12)))/1000)</f>
        <v>164.47692340586369</v>
      </c>
      <c r="E9" s="162" t="s">
        <v>15</v>
      </c>
      <c r="F9" s="173"/>
      <c r="G9" s="166"/>
      <c r="H9" s="166"/>
    </row>
    <row r="10" spans="1:8" ht="18.75">
      <c r="B10" s="5" t="s">
        <v>105</v>
      </c>
      <c r="C10" s="9" t="s">
        <v>87</v>
      </c>
      <c r="D10" s="8">
        <f>IF(Vin_type="AC",PO_FL*OPP*0.01/(ηXFMR*VINPUT_Brownin*1.414),PO_FL*OPP*0.01/(ηXFMR*VINPUT_Brownin))</f>
        <v>0.26424420392349796</v>
      </c>
      <c r="E10" s="162" t="s">
        <v>50</v>
      </c>
      <c r="F10" s="173"/>
      <c r="G10" s="166"/>
      <c r="H10" s="166"/>
    </row>
    <row r="11" spans="1:8" ht="18.75">
      <c r="B11" s="5" t="s">
        <v>101</v>
      </c>
      <c r="C11" s="9" t="s">
        <v>86</v>
      </c>
      <c r="D11" s="8">
        <f>IF(Vin_type="AC",-SQRT(CSW_T_nor*(10^-12)/(LM*(10^-6)))*1.414159*VINPUT_Brownin,-SQRT(CSW_T_nor*(10^-12)/(LM*(10^-6)))*VINPUT_Brownin)</f>
        <v>-0.19295134888250964</v>
      </c>
      <c r="E11" s="162" t="s">
        <v>50</v>
      </c>
      <c r="F11" s="173"/>
      <c r="G11" s="166"/>
      <c r="H11" s="166"/>
    </row>
    <row r="12" spans="1:8" ht="19.5" thickBot="1">
      <c r="B12" s="6" t="s">
        <v>295</v>
      </c>
      <c r="C12" s="3" t="s">
        <v>91</v>
      </c>
      <c r="D12" s="4">
        <f>IF(Vin_type="AC",(NPS*(VOUT+Vf_SR))/(VINPUT_Brownin*1.414+NPS*(VOUT+Vf_SR)),(NPS*(VOUT+Vf_SR))/(VINPUT_Brownin+NPS*(VOUT+Vf_SR)))</f>
        <v>0.55155676898044737</v>
      </c>
      <c r="E12" s="161"/>
      <c r="F12" s="174"/>
      <c r="G12" s="166"/>
      <c r="H12" s="166"/>
    </row>
    <row r="13" spans="1:8" ht="15.75" thickBot="1">
      <c r="G13" s="166"/>
      <c r="H13" s="166"/>
    </row>
    <row r="14" spans="1:8" ht="18">
      <c r="B14" s="45" t="s">
        <v>83</v>
      </c>
      <c r="C14" s="46"/>
      <c r="D14" s="46"/>
      <c r="E14" s="46"/>
      <c r="F14" s="47"/>
      <c r="G14" s="166"/>
      <c r="H14" s="166"/>
    </row>
    <row r="15" spans="1:8" ht="18.75">
      <c r="B15" s="5" t="s">
        <v>221</v>
      </c>
      <c r="C15" s="9" t="s">
        <v>219</v>
      </c>
      <c r="D15" s="8">
        <f>SQRT(IM_nega_OPP_min^2+2*(PO_FL*OPP*0.01/ηXFMR)*(1/(fsw_OPP_min*1000*LM*10^-6)))</f>
        <v>1.2656532093947381</v>
      </c>
      <c r="E15" s="41" t="s">
        <v>50</v>
      </c>
      <c r="F15" s="173"/>
      <c r="G15" s="166"/>
      <c r="H15" s="166"/>
    </row>
    <row r="16" spans="1:8" ht="18.75">
      <c r="B16" s="7" t="s">
        <v>234</v>
      </c>
      <c r="C16" s="9" t="s">
        <v>220</v>
      </c>
      <c r="D16" s="8">
        <f>IF(Vin_type="AC",-SQRT(CSW_T_nor*(10^-12)/(LM*(10^-6)))*1.414159*VINPUT_Brownout,-SQRT(CSW_T_nor*(10^-12)/(LM*(10^-6)))*VINPUT_Brownout)</f>
        <v>-0.160149619572483</v>
      </c>
      <c r="E16" s="41" t="s">
        <v>50</v>
      </c>
      <c r="F16" s="173"/>
      <c r="G16" s="169"/>
    </row>
    <row r="17" spans="2:11" ht="18.75">
      <c r="B17" s="5" t="s">
        <v>104</v>
      </c>
      <c r="C17" s="9" t="s">
        <v>89</v>
      </c>
      <c r="D17" s="8">
        <f>IF(Vin_type="AC",(VINPUT_Brownout*1.414*DOPP_min^2)/(2*(LM*10^-6)*IIN_OPP_min-DOPP_min*(LM*10^-6)*(IM_nega_OPP_min)+DOPP_min*VINPUT_Brownout*1.414*0.5*3.141*SQRT((LM*10^-6)*(CSW_T_nor*10^-12)))/1000,(VINPUT_Brownout*DOPP_min^2)/(2*(LM*10^-6)*IIN_OPP_min-DOPP_min*(LM*10^-6)*(IM_nega_OPP_min)+DOPP_min*VINPUT_Brownout*0.5*3.141*SQRT((LM*10^-6)*(CSW_T_nor*10^-12)))/1000)</f>
        <v>145.3890900875177</v>
      </c>
      <c r="E17" s="41" t="s">
        <v>15</v>
      </c>
      <c r="F17" s="173"/>
      <c r="G17" s="166"/>
    </row>
    <row r="18" spans="2:11" ht="18.75">
      <c r="B18" s="5" t="s">
        <v>106</v>
      </c>
      <c r="C18" s="9" t="s">
        <v>90</v>
      </c>
      <c r="D18" s="8">
        <f>IF(Vin_type="AC",PO_FL*OPP*0.01/(ηXFMR*VINPUT_Brownout*1.414),PO_FL*OPP*0.01/(ηXFMR*VINPUT_Brownout))</f>
        <v>0.31836651075120237</v>
      </c>
      <c r="E18" s="41" t="s">
        <v>50</v>
      </c>
      <c r="F18" s="173"/>
      <c r="G18" s="166"/>
    </row>
    <row r="19" spans="2:11" ht="18.75">
      <c r="B19" s="10" t="s">
        <v>296</v>
      </c>
      <c r="C19" s="9" t="s">
        <v>92</v>
      </c>
      <c r="D19" s="8">
        <f>IF(Vin_type="AC",(NPS*(VOUT+Vf_SR))/(VINPUT_Brownout*1.414+NPS*(VOUT+Vf_SR)),(NPS*(VOUT+Vf_SR))/(VINPUT_Brownout+NPS*(VOUT+Vf_SR)))</f>
        <v>0.59707498933474812</v>
      </c>
      <c r="E19" s="163"/>
      <c r="F19" s="174"/>
      <c r="G19" s="166"/>
    </row>
    <row r="20" spans="2:11" ht="18.75">
      <c r="B20" s="10" t="s">
        <v>103</v>
      </c>
      <c r="C20" s="9" t="s">
        <v>93</v>
      </c>
      <c r="D20" s="8">
        <f>IF(Vin_type="AC",ipk_OPP_min*LM/(VINPUT_Brownout*1.414),ipk_OPP_min*LM/(VINPUT_Brownout))</f>
        <v>3.5165812022929193</v>
      </c>
      <c r="E20" s="165" t="s">
        <v>53</v>
      </c>
      <c r="F20" s="173"/>
      <c r="G20" s="166"/>
    </row>
    <row r="21" spans="2:11" ht="18.75">
      <c r="B21" s="10" t="s">
        <v>109</v>
      </c>
      <c r="C21" s="11" t="s">
        <v>108</v>
      </c>
      <c r="D21" s="12">
        <f>COSS_QL_bg+COSS_QH_sm+CTr+CBootD_T+(COSS_SR_H+Vf_Daux)/NPS^2</f>
        <v>5043.21</v>
      </c>
      <c r="E21" s="163" t="s">
        <v>94</v>
      </c>
      <c r="F21" s="175"/>
      <c r="G21" s="166"/>
    </row>
    <row r="22" spans="2:11" ht="19.5" thickBot="1">
      <c r="B22" s="6" t="s">
        <v>107</v>
      </c>
      <c r="C22" s="3" t="s">
        <v>96</v>
      </c>
      <c r="D22" s="4">
        <f>TD_CS_filter+tD_CS+TD_LDr</f>
        <v>265</v>
      </c>
      <c r="E22" s="164" t="s">
        <v>97</v>
      </c>
      <c r="F22" s="173"/>
      <c r="G22" s="169"/>
    </row>
    <row r="23" spans="2:11" ht="15.75" thickBot="1">
      <c r="G23" s="166"/>
    </row>
    <row r="24" spans="2:11">
      <c r="B24" s="45" t="s">
        <v>110</v>
      </c>
      <c r="C24" s="46"/>
      <c r="D24" s="46"/>
      <c r="E24" s="46"/>
      <c r="F24" s="47"/>
      <c r="G24" s="166"/>
    </row>
    <row r="25" spans="2:11" ht="18.75">
      <c r="B25" s="5" t="s">
        <v>239</v>
      </c>
      <c r="C25" s="9" t="s">
        <v>240</v>
      </c>
      <c r="D25" s="8">
        <f>SQRT(IM_nega_max^2+2*(PO_FL*OPP*0.01/ηXFMR)*(1/(fsw_OPP_max*1000*LM*10^-6)))</f>
        <v>1.0260814831487837</v>
      </c>
      <c r="E25" s="41" t="s">
        <v>50</v>
      </c>
      <c r="F25" s="173"/>
      <c r="G25" s="166"/>
      <c r="H25" s="287"/>
      <c r="I25" s="31"/>
      <c r="J25" s="31"/>
      <c r="K25" s="31"/>
    </row>
    <row r="26" spans="2:11" ht="18.75">
      <c r="B26" s="5" t="s">
        <v>112</v>
      </c>
      <c r="C26" s="9" t="s">
        <v>111</v>
      </c>
      <c r="D26" s="8">
        <f>IF(Vin_type="AC",-SQRT(CSW_T_nor*0.57*(10^-12)/(LM*(10^-6)))*1.414*VINPUT_max,-SQRT(CSW_T_nor*0.57*(10^-12)/(LM*(10^-6)))*VINPUT_max)</f>
        <v>-0.26123570287294251</v>
      </c>
      <c r="E26" s="41" t="s">
        <v>50</v>
      </c>
      <c r="F26" s="173"/>
      <c r="G26" s="166"/>
      <c r="H26" s="166"/>
    </row>
    <row r="27" spans="2:11" ht="18.75">
      <c r="B27" s="5" t="s">
        <v>113</v>
      </c>
      <c r="C27" s="9" t="s">
        <v>114</v>
      </c>
      <c r="D27" s="8">
        <f>IF(Vin_type="AC",(VINPUT_max*1.414*DOPP_max^2)/(2*(LM*10^-6)*IIN_OPP_max-DOPP_min*(LM*10^-6)*(IM_nega_max)+DOPP_max*VINPUT_Brownout*1.414*0.5*3.141*SQRT((LM*10^-6)*(CSW_T_nor*10^-12)))/1000,(VINPUT_max*DOPP_max^2)/(2*(LM*10^-6)*IIN_OPP_max-DOPP_min*(LM*10^-6)*(IM_nega_max)+DOPP_max*VINPUT_Brownout*0.5*3.141*SQRT((LM*10^-6)*(CSW_T_nor*10^-12)))/1000)</f>
        <v>232.75124115897947</v>
      </c>
      <c r="E27" s="41" t="s">
        <v>15</v>
      </c>
      <c r="F27" s="173"/>
      <c r="G27" s="166"/>
      <c r="H27" s="166"/>
    </row>
    <row r="28" spans="2:11" ht="18.75">
      <c r="B28" s="10" t="s">
        <v>297</v>
      </c>
      <c r="C28" s="9" t="s">
        <v>115</v>
      </c>
      <c r="D28" s="8">
        <f>IF(Vin_type="AC",(NPS*(VOUT+Vf_SR))/(VINPUT_max*1.414+NPS*(VOUT+Vf_SR)),(NPS*(VOUT+Vf_SR))/(VINPUT_max+NPS*(VOUT+Vf_SR)))</f>
        <v>0.40680379344537393</v>
      </c>
      <c r="E28" s="41"/>
      <c r="F28" s="174"/>
      <c r="G28" s="166"/>
      <c r="H28" s="166"/>
    </row>
    <row r="29" spans="2:11" ht="18.75">
      <c r="B29" s="5" t="s">
        <v>116</v>
      </c>
      <c r="C29" s="9" t="s">
        <v>117</v>
      </c>
      <c r="D29" s="8">
        <f>IF(Vin_type="AC",PO_FL*OPP*0.01/(ηXFMR*VINPUT_max*1.414),PO_FL*OPP*0.01/(ηXFMR*VINPUT_max))</f>
        <v>0.14733616218764733</v>
      </c>
      <c r="E29" s="41" t="s">
        <v>50</v>
      </c>
      <c r="F29" s="173"/>
      <c r="G29" s="166"/>
      <c r="H29" s="166"/>
    </row>
    <row r="30" spans="2:11" ht="33">
      <c r="B30" s="15" t="s">
        <v>125</v>
      </c>
      <c r="C30" s="9" t="s">
        <v>119</v>
      </c>
      <c r="D30" s="8">
        <f>IF(Vin_type="AC",VCST_OPP4-ipk_OPP_max*RCS+VINPUT_max*1.414*RCS*(tD_CST*10^-9)/(LM*10^-6)+0.001*Vhys_CS,VCST_OPP4-ipk_OPP_max*RCS+VINPUT_max*RCS*(tD_CST*10^-9)/(LM*10^-6)+0.001*Vhys_CS)</f>
        <v>-2.919495056331892E-2</v>
      </c>
      <c r="E30" s="163" t="s">
        <v>95</v>
      </c>
      <c r="F30" s="174"/>
      <c r="G30" s="166"/>
      <c r="H30" s="166"/>
    </row>
    <row r="31" spans="2:11" ht="18.75">
      <c r="B31" s="10" t="s">
        <v>146</v>
      </c>
      <c r="C31" s="9" t="s">
        <v>147</v>
      </c>
      <c r="D31" s="8">
        <f>IF(Vin_type="AC",(((VINPUT_max*1.414-VR_pri_max-VLk_pri_max)*NA/NP-Vs_clamp)/(RVS_1*1000)-Vs_clamp/(RVS_2*1000))*10^3,(((VINPUT_max-VR_pri_max-VLk_pri_max)*NA/NP-Vs_clamp)/(RVS_1*1000)-Vs_clamp/(RVS_2*1000))*10^3)</f>
        <v>0.64443497817326667</v>
      </c>
      <c r="E31" s="165" t="s">
        <v>123</v>
      </c>
      <c r="F31" s="174"/>
      <c r="G31" s="166"/>
      <c r="H31" s="166"/>
    </row>
    <row r="32" spans="2:11" ht="18.75">
      <c r="B32" s="10" t="s">
        <v>126</v>
      </c>
      <c r="C32" s="11" t="s">
        <v>120</v>
      </c>
      <c r="D32" s="12">
        <f>ipk_OPP_max*(RDSon_QL+VCST_OPP1/ipk_OPP_min+Rpri_dc)</f>
        <v>0.77373060238748625</v>
      </c>
      <c r="E32" s="163" t="s">
        <v>95</v>
      </c>
      <c r="F32" s="174"/>
      <c r="G32" s="166"/>
      <c r="H32" s="166"/>
    </row>
    <row r="33" spans="2:8" ht="19.5" thickBot="1">
      <c r="B33" s="6" t="s">
        <v>810</v>
      </c>
      <c r="C33" s="3" t="s">
        <v>121</v>
      </c>
      <c r="D33" s="4">
        <f>IF(Vin_type="AC",VINPUT_max*1.414*LK_actual/LM,VINPUT_max*LK_actual/LM)</f>
        <v>1.94425</v>
      </c>
      <c r="E33" s="164" t="s">
        <v>95</v>
      </c>
      <c r="F33" s="174"/>
      <c r="G33" s="166"/>
      <c r="H33" s="166"/>
    </row>
    <row r="34" spans="2:8" ht="15.75" thickBot="1">
      <c r="G34" s="166"/>
      <c r="H34" s="166"/>
    </row>
    <row r="35" spans="2:8">
      <c r="B35" s="45" t="s">
        <v>139</v>
      </c>
      <c r="C35" s="46"/>
      <c r="D35" s="46"/>
      <c r="E35" s="46"/>
      <c r="F35" s="47"/>
      <c r="G35" s="166"/>
      <c r="H35" s="166"/>
    </row>
    <row r="36" spans="2:8" ht="18.75">
      <c r="B36" s="5" t="s">
        <v>150</v>
      </c>
      <c r="C36" s="9" t="s">
        <v>140</v>
      </c>
      <c r="D36" s="8">
        <f>SQRT(IM_nega_BUR^2+2*(PO_FL*BUR*0.01/ηXFMR)*(1/(fsw_BUR*1000*LM*10^-6)))</f>
        <v>0.66452089406253578</v>
      </c>
      <c r="E36" s="41" t="s">
        <v>50</v>
      </c>
      <c r="F36" s="173"/>
      <c r="G36" s="166"/>
      <c r="H36" s="166"/>
    </row>
    <row r="37" spans="2:8" ht="18.75">
      <c r="B37" s="7" t="s">
        <v>151</v>
      </c>
      <c r="C37" s="9" t="s">
        <v>141</v>
      </c>
      <c r="D37" s="8">
        <f>IF(Vin_type="AC",-SQRT(CSW_T_nor*0.57*(10^-12)/(LM*(10^-6)))*1.414*VINPUT_BUR,-SQRT(CSW_T_nor*0.57*(10^-12)/(LM*(10^-6)))*VINPUT_BUR)</f>
        <v>-0.26123570287294251</v>
      </c>
      <c r="E37" s="41" t="s">
        <v>50</v>
      </c>
      <c r="F37" s="173"/>
      <c r="G37" s="166"/>
      <c r="H37" s="166"/>
    </row>
    <row r="38" spans="2:8" ht="18.75">
      <c r="B38" s="5" t="s">
        <v>152</v>
      </c>
      <c r="C38" s="9" t="s">
        <v>142</v>
      </c>
      <c r="D38" s="8">
        <f>IF(Vin_type="AC",(VINPUT_BUR*1.414*DBUR^2)/(2*(LM*10^-6)*IIN_BUR-DBUR*(LM*10^-6)*(IM_nega_BUR)+DBUR*VINPUT_BUR*1.414*0.5*3.141*SQRT((LM*10^-6)*(CSW_T_nor*10^-12)))/1000,(VINPUT_BUR*DBUR^2)/(2*(LM*10^-6)*IIN_BUR-DBUR*(LM*10^-6)*(IM_nega_BUR)+DBUR*VINPUT_BUR*0.5*3.141*SQRT((LM*10^-6)*(CSW_T_nor*10^-12)))/1000)</f>
        <v>279.00994059191549</v>
      </c>
      <c r="E38" s="41" t="s">
        <v>15</v>
      </c>
      <c r="F38" s="173"/>
      <c r="G38" s="166"/>
      <c r="H38" s="166"/>
    </row>
    <row r="39" spans="2:8" ht="18.75">
      <c r="B39" s="10" t="s">
        <v>298</v>
      </c>
      <c r="C39" s="9" t="s">
        <v>143</v>
      </c>
      <c r="D39" s="8">
        <f>IF(Vin_type="AC",(NPS*(VOUT+Vf_SR))/(VINPUT_BUR*1.414+NPS*(VOUT+Vf_SR)),(NPS*(VOUT+Vf_SR))/(VINPUT_BUR+NPS*(VOUT+Vf_SR)))</f>
        <v>0.40680379344537393</v>
      </c>
      <c r="E39" s="41"/>
      <c r="F39" s="174"/>
      <c r="G39" s="166"/>
      <c r="H39" s="166"/>
    </row>
    <row r="40" spans="2:8" ht="18.75">
      <c r="B40" s="5" t="s">
        <v>153</v>
      </c>
      <c r="C40" s="9" t="s">
        <v>144</v>
      </c>
      <c r="D40" s="8">
        <f>IF(Vin_type="AC",PO_FL*BUR*0.01/(ηXFMR*VINPUT_BUR*1.414),PO_FL*BUR*0.01/(ηXFMR*VINPUT_BUR))</f>
        <v>6.697098281256697E-2</v>
      </c>
      <c r="E40" s="41" t="s">
        <v>50</v>
      </c>
      <c r="F40" s="173"/>
      <c r="G40" s="166"/>
      <c r="H40" s="166"/>
    </row>
    <row r="41" spans="2:8" ht="19.5" thickBot="1">
      <c r="B41" s="6" t="s">
        <v>154</v>
      </c>
      <c r="C41" s="3" t="s">
        <v>148</v>
      </c>
      <c r="D41" s="4">
        <f>IF(Vin_type="AC",(((VINPUT_BUR*1.414-VR_pri_max-VLk_pri_max)*NA/NP-Vs_clamp)/(RVS_1*1000)-Vs_clamp/(RVS_2*1000))*10^3,(((VINPUT_BUR-VR_pri_max-VLk_pri_max)*NA/NP-Vs_clamp)/(RVS_1*1000)-Vs_clamp/(RVS_2*1000))*10^3)</f>
        <v>0.64443497817326667</v>
      </c>
      <c r="E41" s="42" t="s">
        <v>123</v>
      </c>
      <c r="F41" s="174"/>
      <c r="G41" s="166"/>
      <c r="H41" s="166"/>
    </row>
    <row r="42" spans="2:8" ht="15.75" thickBot="1">
      <c r="G42" s="166"/>
      <c r="H42" s="166"/>
    </row>
    <row r="43" spans="2:8">
      <c r="B43" s="45" t="s">
        <v>164</v>
      </c>
      <c r="C43" s="46"/>
      <c r="D43" s="46"/>
      <c r="E43" s="46"/>
      <c r="F43" s="47"/>
      <c r="G43" s="166"/>
      <c r="H43" s="166"/>
    </row>
    <row r="44" spans="2:8" ht="19.5" thickBot="1">
      <c r="B44" s="6" t="s">
        <v>393</v>
      </c>
      <c r="C44" s="3" t="s">
        <v>394</v>
      </c>
      <c r="D44" s="4">
        <f>IF(Vin_type="AC",((CSW_T_nor*0.7*10^-12)*(VINPUT_max*1.414+NPS*VOUT)/ipk_BUR)*10^9,((CSW_T_nor*0.7*10^-12)*(VINPUT_max+NPS*VOUT)/ipk_BUR)*10^9)</f>
        <v>273.38151270425493</v>
      </c>
      <c r="E44" s="42" t="s">
        <v>395</v>
      </c>
      <c r="F44" s="43"/>
      <c r="G44" s="166"/>
      <c r="H44" s="166"/>
    </row>
    <row r="45" spans="2:8" ht="15.75" thickBot="1">
      <c r="G45" s="166"/>
      <c r="H45" s="166"/>
    </row>
    <row r="46" spans="2:8">
      <c r="B46" s="45" t="s">
        <v>177</v>
      </c>
      <c r="C46" s="46"/>
      <c r="D46" s="46"/>
      <c r="E46" s="46"/>
      <c r="F46" s="47"/>
      <c r="G46" s="166"/>
      <c r="H46" s="166"/>
    </row>
    <row r="47" spans="2:8" ht="19.5" thickBot="1">
      <c r="B47" s="5" t="s">
        <v>253</v>
      </c>
      <c r="C47" s="9" t="s">
        <v>243</v>
      </c>
      <c r="D47" s="8">
        <f>(RDSon_QL/(RDSon_QH+RDSon_QL))*((15-IVCC_qcc)/10^9)*10^9</f>
        <v>7.3</v>
      </c>
      <c r="E47" s="163" t="s">
        <v>244</v>
      </c>
      <c r="F47" s="176"/>
      <c r="G47" s="166"/>
      <c r="H47" s="166"/>
    </row>
    <row r="48" spans="2:8" ht="18.75">
      <c r="B48" s="5" t="s">
        <v>254</v>
      </c>
      <c r="C48" s="9" t="s">
        <v>247</v>
      </c>
      <c r="D48" s="8">
        <f>SQRT(IM_nega_BUR^2+2*(PO_FL*BUR*0.01/ηXFMR)*(1/(fsw_BUR_min*1000*LM*10^-6)))</f>
        <v>0.69550092411059194</v>
      </c>
      <c r="E48" s="41" t="s">
        <v>30</v>
      </c>
      <c r="F48" s="173"/>
      <c r="G48" s="166"/>
      <c r="H48" s="166"/>
    </row>
    <row r="49" spans="2:8" ht="33">
      <c r="B49" s="7" t="s">
        <v>255</v>
      </c>
      <c r="C49" s="9" t="s">
        <v>248</v>
      </c>
      <c r="D49" s="8">
        <f>IF(Vin_type="AC",-SQRT(CSW_T_nor*0.57*(10^-12)/(LM*(10^-6)))*1.414*VINPUT_Brownout,-SQRT(CSW_T_nor*0.57*(10^-12)/(LM*(10^-6)))*VINPUT_Brownout)</f>
        <v>-0.12089671679622964</v>
      </c>
      <c r="E49" s="41" t="s">
        <v>30</v>
      </c>
      <c r="F49" s="173"/>
      <c r="G49" s="166"/>
      <c r="H49" s="166"/>
    </row>
    <row r="50" spans="2:8" ht="18.75">
      <c r="B50" s="7" t="s">
        <v>256</v>
      </c>
      <c r="C50" s="9" t="s">
        <v>249</v>
      </c>
      <c r="D50" s="8">
        <f>IF(Vin_type="AC",(VINPUT_Brownout*1.414*DBUR_min^2)/(2*(LM*10^-6)*IIN_BUR_min-DBUR_min*(LM*10^-6)*(IM_nega_BUR_min)+DBUR_min*VINPUT_Brownout*1.414*0.5*3.141*SQRT((LM*10^-6)*(CSW_T_nor*10^-12)))/1000,(VINPUT_Brownout*DBUR_min^2)/(2*(LM*10^-6)*IIN_BUR_min-DBUR_min*(LM*10^-6)*(IM_nega_BUR_min)+DBUR_min*VINPUT_Brownout*0.5*3.141*SQRT((LM*10^-6)*(CSW_T_nor*10^-12)))/1000)</f>
        <v>250.71557656353187</v>
      </c>
      <c r="E50" s="41" t="s">
        <v>15</v>
      </c>
      <c r="F50" s="173"/>
      <c r="G50" s="166"/>
      <c r="H50" s="166"/>
    </row>
    <row r="51" spans="2:8" ht="18.75">
      <c r="B51" s="5" t="s">
        <v>299</v>
      </c>
      <c r="C51" s="9" t="s">
        <v>250</v>
      </c>
      <c r="D51" s="8">
        <f>IF(Vin_type="AC",(NPS*(VOUT+Vf_SR))/(VINPUT_Brownout*1.414+NPS*(VOUT+Vf_SR)),(NPS*(VOUT+Vf_SR))/(VINPUT_Brownout+NPS*(VOUT+Vf_SR)))</f>
        <v>0.59707498933474812</v>
      </c>
      <c r="E51" s="41"/>
      <c r="F51" s="174"/>
      <c r="G51" s="166"/>
      <c r="H51" s="166"/>
    </row>
    <row r="52" spans="2:8" ht="19.5" thickBot="1">
      <c r="B52" s="6" t="s">
        <v>257</v>
      </c>
      <c r="C52" s="3" t="s">
        <v>251</v>
      </c>
      <c r="D52" s="4">
        <f>IF(Vin_type="AC",PO_FL*BUR*0.01/(ηXFMR*VINPUT_Brownout*1.414),PO_FL*BUR*0.01/(ηXFMR*VINPUT_Brownout))</f>
        <v>0.14471205034145562</v>
      </c>
      <c r="E52" s="42" t="s">
        <v>30</v>
      </c>
      <c r="F52" s="173"/>
      <c r="G52" s="166"/>
      <c r="H52" s="166"/>
    </row>
    <row r="53" spans="2:8" ht="15.75" thickBot="1">
      <c r="G53" s="166"/>
      <c r="H53" s="166"/>
    </row>
    <row r="54" spans="2:8">
      <c r="B54" s="45" t="s">
        <v>178</v>
      </c>
      <c r="C54" s="46"/>
      <c r="D54" s="46"/>
      <c r="E54" s="46"/>
      <c r="F54" s="47"/>
      <c r="G54" s="166"/>
      <c r="H54" s="166"/>
    </row>
    <row r="55" spans="2:8" ht="18.75">
      <c r="B55" s="5" t="s">
        <v>242</v>
      </c>
      <c r="C55" s="9" t="s">
        <v>241</v>
      </c>
      <c r="D55" s="8">
        <f>SQRT(IM_nega_start^2+2*(PO_FL*OPP*0.5*0.01*1.333/ηXFMR)*(1/(fsw_OPP_start*1000*LM*10^-6)))</f>
        <v>1.1561392600179576</v>
      </c>
      <c r="E55" s="41" t="s">
        <v>50</v>
      </c>
      <c r="F55" s="173"/>
      <c r="G55" s="166"/>
      <c r="H55" s="166"/>
    </row>
    <row r="56" spans="2:8" ht="33">
      <c r="B56" s="7" t="s">
        <v>194</v>
      </c>
      <c r="C56" s="9" t="s">
        <v>185</v>
      </c>
      <c r="D56" s="8">
        <f>IF(Vin_type="AC",-SQRT(CSW_T_nor*(10^-12)/(LM*(10^-6)))*(1.414159*VINPUT_Brownout+30),-SQRT(CSW_T_nor*(10^-12)/(LM*(10^-6)))*(VINPUT_Brownout+30))</f>
        <v>-0.2046417298046859</v>
      </c>
      <c r="E56" s="41" t="s">
        <v>50</v>
      </c>
      <c r="F56" s="173"/>
      <c r="G56" s="166"/>
      <c r="H56" s="166"/>
    </row>
    <row r="57" spans="2:8" ht="18.75">
      <c r="B57" s="5" t="s">
        <v>195</v>
      </c>
      <c r="C57" s="9" t="s">
        <v>186</v>
      </c>
      <c r="D57" s="8">
        <f>IF(Vin_type="AC",((VINPUT_Brownout*1.414+30)*DOPP_start^2)/(2*(LM*10^-6)*IIN_OPP_start-DOPP_start*(LM*10^-6)*(IM_nega_start)+DOPP_start*(VINPUT_Brownout*1.414+30)*0.5*3.141*SQRT((LM*10^-6)*(CSW_T_nor*10^-12)))/1000,((VINPUT_Brownout+30)*DOPP_start^2)/(2*(LM*10^-6)*IIN_OPP_start-DOPP_start*(LM*10^-6)*(IM_nega_start)+DOPP_start*(VINPUT_Brownout+30)*0.5*3.141*SQRT((LM*10^-6)*(CSW_T_nor*10^-12)))/1000)</f>
        <v>117.96568738276274</v>
      </c>
      <c r="E57" s="41" t="s">
        <v>15</v>
      </c>
      <c r="F57" s="173"/>
      <c r="G57" s="166"/>
      <c r="H57" s="166"/>
    </row>
    <row r="58" spans="2:8" ht="18.75">
      <c r="B58" s="5" t="s">
        <v>196</v>
      </c>
      <c r="C58" s="9" t="s">
        <v>187</v>
      </c>
      <c r="D58" s="8">
        <f>IF(Vin_type="AC",PO_FL*OPP*0.01*1.333*0.5/(ηXFMR*(VINPUT_Brownout*1.414+30)),PO_FL*OPP*0.01*1.333*0.5/(ηXFMR*(VINPUT_Brownout+30)))</f>
        <v>0.16605372687301809</v>
      </c>
      <c r="E58" s="41" t="s">
        <v>50</v>
      </c>
      <c r="F58" s="173"/>
      <c r="G58" s="166"/>
      <c r="H58" s="166"/>
    </row>
    <row r="59" spans="2:8" ht="18.75">
      <c r="B59" s="10" t="s">
        <v>300</v>
      </c>
      <c r="C59" s="9" t="s">
        <v>188</v>
      </c>
      <c r="D59" s="8">
        <f>IF(Vin_type="AC",(NPS*(VOUT/2+Vf_SR))/((VINPUT_Brownout*1.414+30)+NPS*(VOUT/2+Vf_SR)),(NPS*(VOUT/2+Vf_SR))/((VINPUT_Brownout+30)+NPS*(VOUT/2+Vf_SR)))</f>
        <v>0.36701786606270209</v>
      </c>
      <c r="E59" s="163"/>
      <c r="F59" s="174"/>
      <c r="G59" s="166"/>
      <c r="H59" s="166"/>
    </row>
    <row r="60" spans="2:8" ht="19.5" thickBot="1">
      <c r="B60" s="6" t="s">
        <v>197</v>
      </c>
      <c r="C60" s="3" t="s">
        <v>191</v>
      </c>
      <c r="D60" s="4">
        <f>(((15-IVCC_qcc)*10^-3)/10^6)*fsw_OPP_start*1000*10^3</f>
        <v>1.7222990357883359</v>
      </c>
      <c r="E60" s="164" t="s">
        <v>192</v>
      </c>
      <c r="F60" s="176"/>
      <c r="G60" s="166"/>
      <c r="H60" s="166"/>
    </row>
    <row r="61" spans="2:8" ht="15.75" thickBot="1">
      <c r="G61" s="166"/>
      <c r="H61" s="166"/>
    </row>
    <row r="62" spans="2:8">
      <c r="B62" s="45" t="s">
        <v>203</v>
      </c>
      <c r="C62" s="46"/>
      <c r="D62" s="46"/>
      <c r="E62" s="46"/>
      <c r="F62" s="47"/>
      <c r="G62" s="166"/>
      <c r="H62" s="166"/>
    </row>
    <row r="63" spans="2:8" ht="18.75">
      <c r="B63" s="5" t="s">
        <v>232</v>
      </c>
      <c r="C63" s="9" t="s">
        <v>222</v>
      </c>
      <c r="D63" s="8">
        <f>SQRT(IM_nega_min^2+2*(PO_FL/ηXFMR)*(1/(fsw_min*LM*10^-6)))</f>
        <v>1.1681594788453284</v>
      </c>
      <c r="E63" s="41" t="s">
        <v>30</v>
      </c>
      <c r="F63" s="173"/>
      <c r="G63" s="166"/>
      <c r="H63" s="166"/>
    </row>
    <row r="64" spans="2:8" ht="18.75">
      <c r="B64" s="5" t="s">
        <v>233</v>
      </c>
      <c r="C64" s="9" t="s">
        <v>223</v>
      </c>
      <c r="D64" s="8">
        <f>IF(Vin_type="AC",-SQRT(CSW_T_nor*(10^-12)/(LM*(10^-6)))*1.414159*VINPUT_Brownout,-SQRT(CSW_T_nor*(10^-12)/(LM*(10^-6)))*VINPUT_Brownout)</f>
        <v>-0.160149619572483</v>
      </c>
      <c r="E64" s="41" t="s">
        <v>30</v>
      </c>
      <c r="F64" s="173"/>
      <c r="G64" s="166"/>
      <c r="H64" s="166"/>
    </row>
    <row r="65" spans="2:8" ht="18.75">
      <c r="B65" s="5" t="s">
        <v>235</v>
      </c>
      <c r="C65" s="9" t="s">
        <v>224</v>
      </c>
      <c r="D65" s="8">
        <f>IF(Vin_type="AC",(VINPUT_Brownout*1.414*Dmin^2)/(2*(LM*10^-6)*IIN_min-Dmin*(LM*10^-6)*(IM_nega_min)+Dmin*VINPUT_Brownout*1.414*0.5*3.141*SQRT((LM*10^-6)*(CSW_T_nor*10^-12))),(VINPUT_Brownout*Dmin^2)/(2*(LM*10^-6)*IIN_min-Dmin*(LM*10^-6)*(IM_nega_min)+Dmin*VINPUT_Brownout*0.5*3.141*SQRT((LM*10^-6)*(CSW_T_nor*10^-12))))</f>
        <v>155594.71278538083</v>
      </c>
      <c r="E65" s="41" t="s">
        <v>51</v>
      </c>
      <c r="F65" s="173"/>
      <c r="G65" s="166"/>
      <c r="H65" s="166"/>
    </row>
    <row r="66" spans="2:8" ht="18.75">
      <c r="B66" s="5" t="s">
        <v>236</v>
      </c>
      <c r="C66" s="9" t="s">
        <v>225</v>
      </c>
      <c r="D66" s="8">
        <f>IF(Vin_type="AC",PO_FL/(ηXFMR*VINPUT_Brownout*1.414),PO_FL/(ηXFMR*VINPUT_Brownout))</f>
        <v>0.28942410068291125</v>
      </c>
      <c r="E66" s="41" t="s">
        <v>30</v>
      </c>
      <c r="F66" s="173"/>
      <c r="G66" s="166"/>
      <c r="H66" s="166"/>
    </row>
    <row r="67" spans="2:8" ht="18.75">
      <c r="B67" s="10" t="s">
        <v>301</v>
      </c>
      <c r="C67" s="9" t="s">
        <v>226</v>
      </c>
      <c r="D67" s="8">
        <f>IF(Vin_type="AC",(NPS*(VOUT+Vf_SR))/(VINPUT_Brownout*1.414+NPS*(VOUT+Vf_SR)),(NPS*(VOUT+Vf_SR))/(VINPUT_Brownout+NPS*(VOUT+Vf_SR)))</f>
        <v>0.59707498933474812</v>
      </c>
      <c r="E67" s="163"/>
      <c r="F67" s="174"/>
      <c r="G67" s="166"/>
      <c r="H67" s="166"/>
    </row>
    <row r="68" spans="2:8" ht="19.5" thickBot="1">
      <c r="B68" s="14" t="s">
        <v>231</v>
      </c>
      <c r="C68" s="3" t="s">
        <v>227</v>
      </c>
      <c r="D68" s="4">
        <f>IF(Vin_type="AC",(NPS*VINPUT_Brownout*1.414/(2*RCS*(VINPUT_Brownout*1.414+NPS*VOUT)))/(0.8*(COUT*10^-6)*(((VINPUT_Brownout*1.414*NPS^2*(ipk_min+IM_nega_min))/(2*(VINPUT_Brownout*1.414+NPS*VOUT)^2)+IOUT/VOUT)*RCO*10^-3+1)),(NPS*VINPUT_Brownout/(2*RCS*(VINPUT_Brownout+NPS*VOUT)))/(0.8*(COUT*10^-6)*(((VINPUT_Brownout*NPS^2*(ipk_min+IM_nega_min))/(2*(VINPUT_Brownout+NPS*VOUT)^2)+IOUT/VOUT)*RCO*10^-3+1)))</f>
        <v>3417.9549973383528</v>
      </c>
      <c r="E68" s="44"/>
      <c r="F68" s="174"/>
      <c r="G68" s="166"/>
      <c r="H68" s="166"/>
    </row>
    <row r="72" spans="2:8">
      <c r="C72" t="s">
        <v>407</v>
      </c>
    </row>
    <row r="73" spans="2:8">
      <c r="C73" t="s">
        <v>406</v>
      </c>
    </row>
    <row r="74" spans="2:8">
      <c r="C74" t="s">
        <v>600</v>
      </c>
    </row>
    <row r="75" spans="2:8">
      <c r="C75" t="s">
        <v>601</v>
      </c>
    </row>
  </sheetData>
  <sheetProtection selectLockedCells="1"/>
  <mergeCells count="1">
    <mergeCell ref="B2:F2"/>
  </mergeCells>
  <phoneticPr fontId="25" type="noConversion"/>
  <dataValidations count="1">
    <dataValidation type="list" showInputMessage="1" showErrorMessage="1" sqref="B76">
      <formula1>$C$73:$C$75</formula1>
    </dataValidation>
  </dataValidations>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287</vt:i4>
      </vt:variant>
    </vt:vector>
  </HeadingPairs>
  <TitlesOfParts>
    <vt:vector size="293" baseType="lpstr">
      <vt:lpstr>Input Here</vt:lpstr>
      <vt:lpstr>Calculation</vt:lpstr>
      <vt:lpstr>Schematic and Values</vt:lpstr>
      <vt:lpstr>Secondary Resonance</vt:lpstr>
      <vt:lpstr>Burst Mode for USB-PD</vt:lpstr>
      <vt:lpstr>Hide Calculate</vt:lpstr>
      <vt:lpstr>_∆V_MIN</vt:lpstr>
      <vt:lpstr>_∆VO_ABM</vt:lpstr>
      <vt:lpstr>BUR</vt:lpstr>
      <vt:lpstr>Cboot</vt:lpstr>
      <vt:lpstr>CBootD_T</vt:lpstr>
      <vt:lpstr>CBULK</vt:lpstr>
      <vt:lpstr>CBULK_act</vt:lpstr>
      <vt:lpstr>CBULK_rec</vt:lpstr>
      <vt:lpstr>CBUR</vt:lpstr>
      <vt:lpstr>CBUR_act</vt:lpstr>
      <vt:lpstr>CBUR_rec</vt:lpstr>
      <vt:lpstr>Cclamp</vt:lpstr>
      <vt:lpstr>Cclamp_act</vt:lpstr>
      <vt:lpstr>Cclamp_rec</vt:lpstr>
      <vt:lpstr>CCS</vt:lpstr>
      <vt:lpstr>CCS_act</vt:lpstr>
      <vt:lpstr>CCS_rec</vt:lpstr>
      <vt:lpstr>CDaux_H</vt:lpstr>
      <vt:lpstr>CDaux_T</vt:lpstr>
      <vt:lpstr>CDD_1</vt:lpstr>
      <vt:lpstr>CDD1_act</vt:lpstr>
      <vt:lpstr>CDD1_rec</vt:lpstr>
      <vt:lpstr>CDD2_</vt:lpstr>
      <vt:lpstr>Cdiff</vt:lpstr>
      <vt:lpstr>Cdiff_act</vt:lpstr>
      <vt:lpstr>Cdiff_rec</vt:lpstr>
      <vt:lpstr>CDz</vt:lpstr>
      <vt:lpstr>CFB</vt:lpstr>
      <vt:lpstr>CHVG</vt:lpstr>
      <vt:lpstr>CHVG_act</vt:lpstr>
      <vt:lpstr>CHVG_rec</vt:lpstr>
      <vt:lpstr>Cint</vt:lpstr>
      <vt:lpstr>Cint_act</vt:lpstr>
      <vt:lpstr>Cint_rec</vt:lpstr>
      <vt:lpstr>Ciss_Qs</vt:lpstr>
      <vt:lpstr>Co_1</vt:lpstr>
      <vt:lpstr>Co1_dec</vt:lpstr>
      <vt:lpstr>Co1_rec</vt:lpstr>
      <vt:lpstr>COSS_QH_bg</vt:lpstr>
      <vt:lpstr>COSS_QH_sm</vt:lpstr>
      <vt:lpstr>Coss_QH_T</vt:lpstr>
      <vt:lpstr>COSS_QL_bg</vt:lpstr>
      <vt:lpstr>COSS_QL_sm</vt:lpstr>
      <vt:lpstr>COSS_Qs</vt:lpstr>
      <vt:lpstr>Coss_SR_bg</vt:lpstr>
      <vt:lpstr>COSS_SR_H</vt:lpstr>
      <vt:lpstr>Coss_SR_sm</vt:lpstr>
      <vt:lpstr>Coss_SR_T</vt:lpstr>
      <vt:lpstr>COUT</vt:lpstr>
      <vt:lpstr>COUT_act</vt:lpstr>
      <vt:lpstr>COUT_rec</vt:lpstr>
      <vt:lpstr>CREF</vt:lpstr>
      <vt:lpstr>CREF_act</vt:lpstr>
      <vt:lpstr>CREF_rec</vt:lpstr>
      <vt:lpstr>CSW_0toVx</vt:lpstr>
      <vt:lpstr>CSW_T_nor</vt:lpstr>
      <vt:lpstr>CSWS</vt:lpstr>
      <vt:lpstr>CSWS_act</vt:lpstr>
      <vt:lpstr>CSWS_rec</vt:lpstr>
      <vt:lpstr>CTr</vt:lpstr>
      <vt:lpstr>CTRmax</vt:lpstr>
      <vt:lpstr>CTRmin</vt:lpstr>
      <vt:lpstr>D_max</vt:lpstr>
      <vt:lpstr>DBUR</vt:lpstr>
      <vt:lpstr>DBUR_min</vt:lpstr>
      <vt:lpstr>Dmin</vt:lpstr>
      <vt:lpstr>DOPP_max</vt:lpstr>
      <vt:lpstr>DOPP_min</vt:lpstr>
      <vt:lpstr>DOPP_run</vt:lpstr>
      <vt:lpstr>DOPP_start</vt:lpstr>
      <vt:lpstr>Drea_CDD1</vt:lpstr>
      <vt:lpstr>Drea_clamp</vt:lpstr>
      <vt:lpstr>fBUR_LR</vt:lpstr>
      <vt:lpstr>fBUR_standyby</vt:lpstr>
      <vt:lpstr>fBUR_UP</vt:lpstr>
      <vt:lpstr>Fcr_min</vt:lpstr>
      <vt:lpstr>fLINE_min</vt:lpstr>
      <vt:lpstr>fp_opto</vt:lpstr>
      <vt:lpstr>fsw_BUR</vt:lpstr>
      <vt:lpstr>fsw_BUR_min</vt:lpstr>
      <vt:lpstr>fsw_min</vt:lpstr>
      <vt:lpstr>fsw_OPP_max</vt:lpstr>
      <vt:lpstr>fsw_OPP_min</vt:lpstr>
      <vt:lpstr>fsw_OPP_run</vt:lpstr>
      <vt:lpstr>fsw_OPP_start</vt:lpstr>
      <vt:lpstr>fSWmin</vt:lpstr>
      <vt:lpstr>ID_SR_max</vt:lpstr>
      <vt:lpstr>IDaux_max</vt:lpstr>
      <vt:lpstr>IEN_VDD</vt:lpstr>
      <vt:lpstr>IFB_max</vt:lpstr>
      <vt:lpstr>IIN_BUR</vt:lpstr>
      <vt:lpstr>IIN_BUR_min</vt:lpstr>
      <vt:lpstr>IIN_min</vt:lpstr>
      <vt:lpstr>IIN_OPP_max</vt:lpstr>
      <vt:lpstr>IIN_OPP_min</vt:lpstr>
      <vt:lpstr>IIN_OPP_run</vt:lpstr>
      <vt:lpstr>IIN_OPP_start</vt:lpstr>
      <vt:lpstr>IKA_min</vt:lpstr>
      <vt:lpstr>IM_nega_BUR</vt:lpstr>
      <vt:lpstr>IM_nega_BUR_min</vt:lpstr>
      <vt:lpstr>IM_nega_max</vt:lpstr>
      <vt:lpstr>IM_nega_min</vt:lpstr>
      <vt:lpstr>IM_nega_OPP_min</vt:lpstr>
      <vt:lpstr>IM_nega_run</vt:lpstr>
      <vt:lpstr>IM_nega_start</vt:lpstr>
      <vt:lpstr>IOUT</vt:lpstr>
      <vt:lpstr>ipk_BUR</vt:lpstr>
      <vt:lpstr>ipk_BUR_min</vt:lpstr>
      <vt:lpstr>ipk_min</vt:lpstr>
      <vt:lpstr>ipk_OPP_max</vt:lpstr>
      <vt:lpstr>ipk_OPP_min</vt:lpstr>
      <vt:lpstr>ipk_OPP_run</vt:lpstr>
      <vt:lpstr>ipk_OPP_start</vt:lpstr>
      <vt:lpstr>IQH_max</vt:lpstr>
      <vt:lpstr>IQL_max</vt:lpstr>
      <vt:lpstr>iQL_RMS</vt:lpstr>
      <vt:lpstr>Iref_431</vt:lpstr>
      <vt:lpstr>Iref_431_max</vt:lpstr>
      <vt:lpstr>IRUN_VDD</vt:lpstr>
      <vt:lpstr>Istart_HVG</vt:lpstr>
      <vt:lpstr>IVCC_qcc</vt:lpstr>
      <vt:lpstr>IVCC_sw</vt:lpstr>
      <vt:lpstr>iVSL_BUR</vt:lpstr>
      <vt:lpstr>iVSL_max</vt:lpstr>
      <vt:lpstr>IVSL_run</vt:lpstr>
      <vt:lpstr>Iwait_VDD</vt:lpstr>
      <vt:lpstr>KBUR_CST</vt:lpstr>
      <vt:lpstr>KCTR_Temp</vt:lpstr>
      <vt:lpstr>Kder</vt:lpstr>
      <vt:lpstr>Kder_SR</vt:lpstr>
      <vt:lpstr>KDM</vt:lpstr>
      <vt:lpstr>KLC</vt:lpstr>
      <vt:lpstr>KRES</vt:lpstr>
      <vt:lpstr>KTZ</vt:lpstr>
      <vt:lpstr>KVC</vt:lpstr>
      <vt:lpstr>LK_actual</vt:lpstr>
      <vt:lpstr>LM</vt:lpstr>
      <vt:lpstr>LM_actual</vt:lpstr>
      <vt:lpstr>LM_recommended</vt:lpstr>
      <vt:lpstr>Lo</vt:lpstr>
      <vt:lpstr>LQs</vt:lpstr>
      <vt:lpstr>NA</vt:lpstr>
      <vt:lpstr>NA_max</vt:lpstr>
      <vt:lpstr>NA_min</vt:lpstr>
      <vt:lpstr>Na1_</vt:lpstr>
      <vt:lpstr>Na2_</vt:lpstr>
      <vt:lpstr>NP</vt:lpstr>
      <vt:lpstr>NPS</vt:lpstr>
      <vt:lpstr>NPS_min</vt:lpstr>
      <vt:lpstr>NS</vt:lpstr>
      <vt:lpstr>NS_</vt:lpstr>
      <vt:lpstr>NSS</vt:lpstr>
      <vt:lpstr>OPP</vt:lpstr>
      <vt:lpstr>OVP</vt:lpstr>
      <vt:lpstr>PO_FL</vt:lpstr>
      <vt:lpstr>PRcs</vt:lpstr>
      <vt:lpstr>Qg_Qh</vt:lpstr>
      <vt:lpstr>R_OPP</vt:lpstr>
      <vt:lpstr>R_OPP_act</vt:lpstr>
      <vt:lpstr>R_OPP_rec</vt:lpstr>
      <vt:lpstr>Rbias1</vt:lpstr>
      <vt:lpstr>Rbias1_max_ABM</vt:lpstr>
      <vt:lpstr>Rbias1_max_SBP</vt:lpstr>
      <vt:lpstr>Rbias2</vt:lpstr>
      <vt:lpstr>Rbias2_act</vt:lpstr>
      <vt:lpstr>Rbias2_rec</vt:lpstr>
      <vt:lpstr>RBLEED</vt:lpstr>
      <vt:lpstr>RBLEED_act</vt:lpstr>
      <vt:lpstr>RBLEED_recc</vt:lpstr>
      <vt:lpstr>RBUR1</vt:lpstr>
      <vt:lpstr>RBUR1_act</vt:lpstr>
      <vt:lpstr>RBUR1_rec</vt:lpstr>
      <vt:lpstr>RBUR2</vt:lpstr>
      <vt:lpstr>RBUR2_act</vt:lpstr>
      <vt:lpstr>RBUR2_rec</vt:lpstr>
      <vt:lpstr>RCO</vt:lpstr>
      <vt:lpstr>RCOMP</vt:lpstr>
      <vt:lpstr>RCS</vt:lpstr>
      <vt:lpstr>RCS_act</vt:lpstr>
      <vt:lpstr>RCS_rec</vt:lpstr>
      <vt:lpstr>RDD_1</vt:lpstr>
      <vt:lpstr>RDD1_act</vt:lpstr>
      <vt:lpstr>RDD1_rec</vt:lpstr>
      <vt:lpstr>RDD2_</vt:lpstr>
      <vt:lpstr>RDD2_rec</vt:lpstr>
      <vt:lpstr>Rdiff</vt:lpstr>
      <vt:lpstr>Rdiff_act</vt:lpstr>
      <vt:lpstr>Rdiff_rec</vt:lpstr>
      <vt:lpstr>RDM</vt:lpstr>
      <vt:lpstr>RDM_act</vt:lpstr>
      <vt:lpstr>RDM_rec</vt:lpstr>
      <vt:lpstr>RDSon_QH</vt:lpstr>
      <vt:lpstr>RDSon_QL</vt:lpstr>
      <vt:lpstr>RFB</vt:lpstr>
      <vt:lpstr>RFB_act</vt:lpstr>
      <vt:lpstr>RFB_int</vt:lpstr>
      <vt:lpstr>RFB_max</vt:lpstr>
      <vt:lpstr>RHVG</vt:lpstr>
      <vt:lpstr>RHVG_act</vt:lpstr>
      <vt:lpstr>RHVG_rec</vt:lpstr>
      <vt:lpstr>Rpri_dc</vt:lpstr>
      <vt:lpstr>RSWS</vt:lpstr>
      <vt:lpstr>RSWS_act</vt:lpstr>
      <vt:lpstr>RSWS_rec</vt:lpstr>
      <vt:lpstr>RTZ</vt:lpstr>
      <vt:lpstr>RTZ_act</vt:lpstr>
      <vt:lpstr>RTZ_rec</vt:lpstr>
      <vt:lpstr>Rvo1_</vt:lpstr>
      <vt:lpstr>Rvo1_act</vt:lpstr>
      <vt:lpstr>Rvo1_rec</vt:lpstr>
      <vt:lpstr>Rvo2_</vt:lpstr>
      <vt:lpstr>Rvo2_act</vt:lpstr>
      <vt:lpstr>Rvo2_rec</vt:lpstr>
      <vt:lpstr>RVS_1</vt:lpstr>
      <vt:lpstr>RVS_2</vt:lpstr>
      <vt:lpstr>RVS1_act</vt:lpstr>
      <vt:lpstr>RVS1_rec</vt:lpstr>
      <vt:lpstr>RVS2_act</vt:lpstr>
      <vt:lpstr>RVS2_rec</vt:lpstr>
      <vt:lpstr>SET</vt:lpstr>
      <vt:lpstr>T_on_min</vt:lpstr>
      <vt:lpstr>tD_CS</vt:lpstr>
      <vt:lpstr>TD_CS_filter</vt:lpstr>
      <vt:lpstr>tD_CST</vt:lpstr>
      <vt:lpstr>TD_HDr</vt:lpstr>
      <vt:lpstr>TD_LDr</vt:lpstr>
      <vt:lpstr>tD_RUN_PWML</vt:lpstr>
      <vt:lpstr>TFDR</vt:lpstr>
      <vt:lpstr>THVG</vt:lpstr>
      <vt:lpstr>Trise_max</vt:lpstr>
      <vt:lpstr>TSS_max</vt:lpstr>
      <vt:lpstr>TZ_min</vt:lpstr>
      <vt:lpstr>Vbur1</vt:lpstr>
      <vt:lpstr>Vbur2</vt:lpstr>
      <vt:lpstr>VCE_sat_opto</vt:lpstr>
      <vt:lpstr>Vcin_rated</vt:lpstr>
      <vt:lpstr>Vclamp_max</vt:lpstr>
      <vt:lpstr>Vclamp_max_QH</vt:lpstr>
      <vt:lpstr>Vclamp_max_SR</vt:lpstr>
      <vt:lpstr>VCST_BUR</vt:lpstr>
      <vt:lpstr>VCST_max</vt:lpstr>
      <vt:lpstr>VCST_OPP1</vt:lpstr>
      <vt:lpstr>VCST_OPP4</vt:lpstr>
      <vt:lpstr>VD_LED</vt:lpstr>
      <vt:lpstr>VD_LED_off</vt:lpstr>
      <vt:lpstr>VDD</vt:lpstr>
      <vt:lpstr>VDD_max</vt:lpstr>
      <vt:lpstr>VDD_off</vt:lpstr>
      <vt:lpstr>VDD_on</vt:lpstr>
      <vt:lpstr>VDD_PCT</vt:lpstr>
      <vt:lpstr>VDS_actual</vt:lpstr>
      <vt:lpstr>VDz</vt:lpstr>
      <vt:lpstr>Vf_BootD</vt:lpstr>
      <vt:lpstr>Vf_Daux</vt:lpstr>
      <vt:lpstr>Vf_SR</vt:lpstr>
      <vt:lpstr>VFB_max</vt:lpstr>
      <vt:lpstr>Vgs_Qs</vt:lpstr>
      <vt:lpstr>VHVG</vt:lpstr>
      <vt:lpstr>Vhys_CS</vt:lpstr>
      <vt:lpstr>VIN_LOW</vt:lpstr>
      <vt:lpstr>Vin_type</vt:lpstr>
      <vt:lpstr>VINPUT_Brownin</vt:lpstr>
      <vt:lpstr>VINPUT_Brownout</vt:lpstr>
      <vt:lpstr>VINPUT_BUR</vt:lpstr>
      <vt:lpstr>VINPUT_max</vt:lpstr>
      <vt:lpstr>VINPUT_nom</vt:lpstr>
      <vt:lpstr>VLk_pri_max</vt:lpstr>
      <vt:lpstr>Vo_drop</vt:lpstr>
      <vt:lpstr>Voffset_CS_OPP</vt:lpstr>
      <vt:lpstr>Vomax</vt:lpstr>
      <vt:lpstr>Vomin</vt:lpstr>
      <vt:lpstr>VOUT</vt:lpstr>
      <vt:lpstr>VR_pri_max</vt:lpstr>
      <vt:lpstr>Vref_431</vt:lpstr>
      <vt:lpstr>VRfl</vt:lpstr>
      <vt:lpstr>Vs_clamp</vt:lpstr>
      <vt:lpstr>VSR_actual</vt:lpstr>
      <vt:lpstr>Vth_Qs</vt:lpstr>
      <vt:lpstr>VVS_OVP</vt:lpstr>
      <vt:lpstr>Vx_SR</vt:lpstr>
      <vt:lpstr>Vxh</vt:lpstr>
      <vt:lpstr>Vxl</vt:lpstr>
      <vt:lpstr>ΔVCLAMP</vt:lpstr>
      <vt:lpstr>ΔVSPIKE</vt:lpstr>
      <vt:lpstr>η</vt:lpstr>
      <vt:lpstr>η_min</vt:lpstr>
      <vt:lpstr>ηXFMR</vt:lpstr>
    </vt:vector>
  </TitlesOfParts>
  <Company>Texas Instruments Incorporated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 Kuan Wei</dc:creator>
  <cp:lastModifiedBy>FELAHI Mohamed</cp:lastModifiedBy>
  <cp:lastPrinted>2019-10-30T13:59:51Z</cp:lastPrinted>
  <dcterms:created xsi:type="dcterms:W3CDTF">2018-06-20T15:06:35Z</dcterms:created>
  <dcterms:modified xsi:type="dcterms:W3CDTF">2019-11-04T13:37:57Z</dcterms:modified>
</cp:coreProperties>
</file>