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Christopher Dyck\Desktop\Education\University of Manitoba\Year 5\ECE 4600 Capstone\DR3\"/>
    </mc:Choice>
  </mc:AlternateContent>
  <xr:revisionPtr revIDLastSave="0" documentId="13_ncr:1_{BF3C5D3A-3286-4665-B5D2-19B41E89775F}" xr6:coauthVersionLast="45" xr6:coauthVersionMax="45" xr10:uidLastSave="{00000000-0000-0000-0000-000000000000}"/>
  <bookViews>
    <workbookView xWindow="-120" yWindow="-120" windowWidth="29040" windowHeight="15840" xr2:uid="{00000000-000D-0000-FFFF-FFFF00000000}"/>
  </bookViews>
  <sheets>
    <sheet name="START HERE" sheetId="2" r:id="rId1"/>
    <sheet name="SCHEMATIC AND BoM" sheetId="4" r:id="rId2"/>
    <sheet name="CALCULATIONS" sheetId="3" r:id="rId3"/>
    <sheet name="LOOKUP TABLES AND DROPDOWN LIST" sheetId="5" state="hidden" r:id="rId4"/>
    <sheet name="Part List" sheetId="6"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CALCULATIONS!#REF!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CALCULATIONS!#REF!</definedName>
    <definedName name="Ipp_min">CALCULATIONS!#REF!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CALCULATIONS!#REF!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CALCULATIONS!#REF!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CALCULATIONS!#REF!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1" i="3" l="1"/>
  <c r="C248" i="3"/>
  <c r="C249" i="3" s="1"/>
  <c r="C241" i="3"/>
  <c r="C242" i="3" s="1"/>
  <c r="C238" i="3"/>
  <c r="C235" i="3"/>
  <c r="C236" i="3" s="1"/>
  <c r="C221" i="3"/>
  <c r="C216" i="3"/>
  <c r="C195" i="3"/>
  <c r="C184" i="3"/>
  <c r="C170" i="3"/>
  <c r="C157" i="3"/>
  <c r="C153" i="3"/>
  <c r="C146" i="3"/>
  <c r="C142" i="3"/>
  <c r="C50" i="3"/>
  <c r="C18" i="3"/>
  <c r="C5" i="3"/>
  <c r="C6" i="3"/>
  <c r="C7" i="3"/>
  <c r="C8" i="3"/>
  <c r="C17" i="3"/>
  <c r="C19" i="3"/>
  <c r="C119" i="3" l="1"/>
  <c r="C62" i="3" l="1"/>
  <c r="C37" i="3"/>
  <c r="C56" i="3"/>
  <c r="E26" i="2" l="1"/>
  <c r="D111" i="4"/>
  <c r="E132" i="4" l="1"/>
  <c r="E120" i="4"/>
  <c r="E105" i="4"/>
  <c r="E102" i="4"/>
  <c r="E99" i="4"/>
  <c r="E88" i="4"/>
  <c r="D88" i="4"/>
  <c r="E72" i="4"/>
  <c r="E64" i="4"/>
  <c r="E46" i="4"/>
  <c r="E42" i="4"/>
  <c r="E60" i="4"/>
  <c r="E114" i="4"/>
  <c r="E129" i="4"/>
  <c r="E126" i="4"/>
  <c r="E68" i="4"/>
  <c r="E53" i="4"/>
  <c r="E52" i="4"/>
  <c r="E51" i="4"/>
  <c r="E50" i="4"/>
  <c r="E78" i="4"/>
  <c r="E77" i="4"/>
  <c r="E76" i="4"/>
  <c r="E93" i="4"/>
  <c r="E92" i="4"/>
  <c r="E91" i="4"/>
  <c r="E90" i="4"/>
  <c r="E96" i="4"/>
  <c r="E95" i="4"/>
  <c r="E141" i="4"/>
  <c r="E140" i="4" l="1"/>
  <c r="E139" i="4"/>
  <c r="E138" i="4"/>
  <c r="E137" i="4"/>
  <c r="E134" i="4"/>
  <c r="E34" i="4"/>
  <c r="E33" i="4"/>
  <c r="E32" i="4"/>
  <c r="E86" i="4"/>
  <c r="E39" i="4"/>
  <c r="E38" i="4"/>
  <c r="E37" i="4"/>
  <c r="D120" i="4"/>
  <c r="C105" i="2"/>
  <c r="B106" i="5"/>
  <c r="S82" i="5" s="1"/>
  <c r="B107" i="5"/>
  <c r="S81" i="5" s="1"/>
  <c r="B108" i="5"/>
  <c r="S80" i="5" s="1"/>
  <c r="B109" i="5"/>
  <c r="S79" i="5" s="1"/>
  <c r="B95" i="5"/>
  <c r="S93" i="5" s="1"/>
  <c r="B96" i="5"/>
  <c r="S92" i="5" s="1"/>
  <c r="B97" i="5"/>
  <c r="S91" i="5" s="1"/>
  <c r="B98" i="5"/>
  <c r="S90" i="5" s="1"/>
  <c r="B99" i="5"/>
  <c r="S89" i="5" s="1"/>
  <c r="B100" i="5"/>
  <c r="S88" i="5" s="1"/>
  <c r="B101" i="5"/>
  <c r="S87" i="5" s="1"/>
  <c r="B102" i="5"/>
  <c r="S86" i="5" s="1"/>
  <c r="B103" i="5"/>
  <c r="S85" i="5" s="1"/>
  <c r="B104" i="5"/>
  <c r="S84" i="5" s="1"/>
  <c r="B105" i="5"/>
  <c r="C105" i="5" s="1"/>
  <c r="B85" i="5"/>
  <c r="S103" i="5" s="1"/>
  <c r="B86" i="5"/>
  <c r="S102" i="5" s="1"/>
  <c r="B87" i="5"/>
  <c r="S101" i="5" s="1"/>
  <c r="B88" i="5"/>
  <c r="S100" i="5" s="1"/>
  <c r="B89" i="5"/>
  <c r="S99" i="5" s="1"/>
  <c r="B90" i="5"/>
  <c r="S98" i="5" s="1"/>
  <c r="B91" i="5"/>
  <c r="S97" i="5" s="1"/>
  <c r="B92" i="5"/>
  <c r="S96" i="5" s="1"/>
  <c r="B93" i="5"/>
  <c r="S95" i="5" s="1"/>
  <c r="B94" i="5"/>
  <c r="S94" i="5" s="1"/>
  <c r="B80" i="5"/>
  <c r="S108" i="5" s="1"/>
  <c r="B81" i="5"/>
  <c r="S107" i="5" s="1"/>
  <c r="B82" i="5"/>
  <c r="S106" i="5" s="1"/>
  <c r="B83" i="5"/>
  <c r="S105" i="5" s="1"/>
  <c r="B84" i="5"/>
  <c r="S104" i="5" s="1"/>
  <c r="B79" i="5"/>
  <c r="S109" i="5" s="1"/>
  <c r="B20" i="5"/>
  <c r="C103" i="2"/>
  <c r="D46" i="4"/>
  <c r="D42" i="4"/>
  <c r="B19" i="5"/>
  <c r="C93" i="5" l="1"/>
  <c r="C99" i="5"/>
  <c r="C106" i="5"/>
  <c r="C80" i="5"/>
  <c r="C91" i="5"/>
  <c r="C98" i="5"/>
  <c r="C102" i="5"/>
  <c r="C85" i="5"/>
  <c r="C90" i="5"/>
  <c r="C95" i="5"/>
  <c r="C94" i="5"/>
  <c r="C89" i="5"/>
  <c r="C109" i="5"/>
  <c r="C81" i="5"/>
  <c r="C88" i="5"/>
  <c r="C84" i="5"/>
  <c r="C87" i="5"/>
  <c r="C83" i="5"/>
  <c r="C97" i="5"/>
  <c r="C108" i="5"/>
  <c r="C104" i="5"/>
  <c r="C101" i="5"/>
  <c r="C79" i="5"/>
  <c r="C86" i="5"/>
  <c r="C82" i="5"/>
  <c r="C92" i="5"/>
  <c r="C100" i="5"/>
  <c r="C96" i="5"/>
  <c r="C107" i="5"/>
  <c r="C103" i="5"/>
  <c r="D108" i="4"/>
  <c r="C213" i="3"/>
  <c r="C212" i="3"/>
  <c r="D132" i="4" s="1"/>
  <c r="C123" i="3" l="1"/>
  <c r="C28" i="3" l="1"/>
  <c r="B18" i="5"/>
  <c r="C122" i="3" l="1"/>
  <c r="C193" i="3" s="1"/>
  <c r="C27" i="3"/>
  <c r="D174" i="3" l="1"/>
  <c r="D175" i="3"/>
  <c r="D176" i="3"/>
  <c r="D177" i="3"/>
  <c r="D178" i="3"/>
  <c r="D173" i="3" l="1"/>
  <c r="D5" i="3"/>
  <c r="B17" i="5"/>
  <c r="B16" i="5"/>
  <c r="H65" i="5" s="1"/>
  <c r="H66" i="5" s="1"/>
  <c r="C214" i="3" s="1"/>
  <c r="C88" i="2" l="1"/>
  <c r="C218" i="3"/>
  <c r="D102" i="4" s="1"/>
  <c r="C244" i="3"/>
  <c r="C243" i="3"/>
  <c r="C25" i="3"/>
  <c r="C24" i="3"/>
  <c r="D44" i="3" l="1"/>
  <c r="E85" i="4" s="1"/>
  <c r="B15" i="5" l="1"/>
  <c r="B14" i="5" l="1"/>
  <c r="C121" i="3"/>
  <c r="E18" i="2" l="1"/>
  <c r="D19" i="2"/>
  <c r="C120" i="3" l="1"/>
  <c r="B13" i="5"/>
  <c r="C118" i="3" l="1"/>
  <c r="D90" i="4" l="1"/>
  <c r="C136" i="3"/>
  <c r="C23" i="3"/>
  <c r="C21" i="3"/>
  <c r="C16" i="3"/>
  <c r="C9" i="3"/>
  <c r="C44" i="3"/>
  <c r="D85" i="4" s="1"/>
  <c r="D9" i="3"/>
  <c r="D7" i="3"/>
  <c r="D6" i="3"/>
  <c r="C4" i="3"/>
  <c r="E27" i="2" l="1"/>
  <c r="C30" i="3"/>
  <c r="B22" i="2"/>
  <c r="E21" i="2"/>
  <c r="D51" i="4"/>
  <c r="H68" i="5"/>
  <c r="H69" i="5" s="1"/>
  <c r="C219" i="3" s="1"/>
  <c r="C223" i="3" s="1"/>
  <c r="B12" i="5"/>
  <c r="B11" i="5"/>
  <c r="B10" i="5"/>
  <c r="B9" i="5"/>
  <c r="B8" i="5"/>
  <c r="B7" i="5"/>
  <c r="B6" i="5"/>
  <c r="B4" i="5"/>
  <c r="E1" i="5" l="1"/>
  <c r="C57" i="3"/>
  <c r="C231" i="3"/>
  <c r="C59" i="3"/>
  <c r="C60" i="3" s="1"/>
  <c r="C14" i="3"/>
  <c r="C90" i="2"/>
  <c r="B5" i="5"/>
  <c r="C149" i="3" s="1"/>
  <c r="W22" i="5" l="1"/>
  <c r="D81" i="5"/>
  <c r="D92" i="5"/>
  <c r="D101" i="5"/>
  <c r="D94" i="5"/>
  <c r="D91" i="5"/>
  <c r="D100" i="5"/>
  <c r="D93" i="5"/>
  <c r="D90" i="5"/>
  <c r="D97" i="5"/>
  <c r="D80" i="5"/>
  <c r="D102" i="5"/>
  <c r="D99" i="5"/>
  <c r="D105" i="5"/>
  <c r="D109" i="5"/>
  <c r="D98" i="5"/>
  <c r="D82" i="5"/>
  <c r="D95" i="5"/>
  <c r="D89" i="5"/>
  <c r="D88" i="5"/>
  <c r="D106" i="5"/>
  <c r="D103" i="5"/>
  <c r="D108" i="5"/>
  <c r="D85" i="5"/>
  <c r="D86" i="5"/>
  <c r="D83" i="5"/>
  <c r="D84" i="5"/>
  <c r="D104" i="5"/>
  <c r="D107" i="5"/>
  <c r="D87" i="5"/>
  <c r="D96" i="5"/>
  <c r="D79" i="5"/>
  <c r="C225" i="3"/>
  <c r="D99" i="4"/>
  <c r="D21" i="2"/>
  <c r="E79" i="5" l="1"/>
  <c r="F79" i="5"/>
  <c r="F85" i="5"/>
  <c r="E85" i="5"/>
  <c r="E98" i="5"/>
  <c r="F98" i="5"/>
  <c r="F93" i="5"/>
  <c r="E93" i="5"/>
  <c r="E96" i="5"/>
  <c r="F96" i="5"/>
  <c r="F108" i="5"/>
  <c r="E108" i="5"/>
  <c r="F109" i="5"/>
  <c r="E109" i="5"/>
  <c r="E100" i="5"/>
  <c r="F100" i="5"/>
  <c r="E87" i="5"/>
  <c r="F87" i="5"/>
  <c r="E83" i="5"/>
  <c r="F83" i="5"/>
  <c r="F103" i="5"/>
  <c r="E103" i="5"/>
  <c r="E95" i="5"/>
  <c r="F95" i="5"/>
  <c r="F105" i="5"/>
  <c r="E105" i="5"/>
  <c r="E97" i="5"/>
  <c r="F97" i="5"/>
  <c r="E91" i="5"/>
  <c r="F91" i="5"/>
  <c r="F81" i="5"/>
  <c r="E81" i="5"/>
  <c r="F104" i="5"/>
  <c r="E104" i="5"/>
  <c r="F88" i="5"/>
  <c r="E88" i="5"/>
  <c r="F102" i="5"/>
  <c r="E102" i="5"/>
  <c r="E101" i="5"/>
  <c r="F101" i="5"/>
  <c r="F84" i="5"/>
  <c r="E84" i="5"/>
  <c r="F89" i="5"/>
  <c r="E89" i="5"/>
  <c r="F80" i="5"/>
  <c r="E80" i="5"/>
  <c r="F92" i="5"/>
  <c r="E92" i="5"/>
  <c r="E107" i="5"/>
  <c r="F107" i="5"/>
  <c r="E86" i="5"/>
  <c r="F86" i="5"/>
  <c r="F106" i="5"/>
  <c r="E106" i="5"/>
  <c r="F82" i="5"/>
  <c r="E82" i="5"/>
  <c r="F99" i="5"/>
  <c r="E99" i="5"/>
  <c r="E90" i="5"/>
  <c r="F90" i="5"/>
  <c r="F94" i="5"/>
  <c r="E94" i="5"/>
  <c r="W24" i="5"/>
  <c r="W25" i="5"/>
  <c r="W23" i="5" s="1"/>
  <c r="C237" i="3" s="1"/>
  <c r="D18" i="2"/>
  <c r="D17" i="2"/>
  <c r="C10" i="3"/>
  <c r="C11" i="3"/>
  <c r="C48" i="3" s="1"/>
  <c r="C239" i="3" l="1"/>
  <c r="C101" i="2"/>
  <c r="J29" i="5"/>
  <c r="D32" i="4"/>
  <c r="C41" i="3"/>
  <c r="D38" i="4" s="1"/>
  <c r="C12" i="3" l="1"/>
  <c r="E19" i="2"/>
  <c r="J30" i="5"/>
  <c r="J31" i="5" l="1"/>
  <c r="J32" i="5"/>
  <c r="C13" i="3"/>
  <c r="C29" i="3"/>
  <c r="C31" i="3" l="1"/>
  <c r="C36" i="3" s="1"/>
  <c r="C38" i="3" l="1"/>
  <c r="B35" i="2"/>
  <c r="E30" i="2"/>
  <c r="C40" i="2" l="1"/>
  <c r="J22" i="5"/>
  <c r="D37" i="4"/>
  <c r="J33" i="5"/>
  <c r="J35" i="5" l="1"/>
  <c r="J38" i="5" s="1"/>
  <c r="J36" i="5" l="1"/>
  <c r="J37" i="5" s="1"/>
  <c r="J39" i="5" s="1"/>
  <c r="J41" i="5" s="1"/>
  <c r="J44" i="5" s="1"/>
  <c r="J42" i="5" l="1"/>
  <c r="J43" i="5" s="1"/>
  <c r="J45" i="5" s="1"/>
  <c r="J47" i="5" s="1"/>
  <c r="J50" i="5" s="1"/>
  <c r="J48" i="5" l="1"/>
  <c r="J49" i="5" s="1"/>
  <c r="J51" i="5" s="1"/>
  <c r="C39" i="3" s="1"/>
  <c r="C61" i="3" s="1"/>
  <c r="C63" i="3" l="1"/>
  <c r="C73" i="3" s="1"/>
  <c r="C74" i="3" s="1"/>
  <c r="C49" i="3"/>
  <c r="D33" i="4" s="1"/>
  <c r="C45" i="3"/>
  <c r="D86" i="4" s="1"/>
  <c r="C40" i="3"/>
  <c r="C51" i="3" s="1"/>
  <c r="E31" i="2"/>
  <c r="C48" i="2" l="1"/>
  <c r="D39" i="4"/>
  <c r="D34" i="4"/>
  <c r="E49" i="2"/>
  <c r="C64" i="3"/>
  <c r="D135" i="4"/>
  <c r="C65" i="3"/>
  <c r="C117" i="3"/>
  <c r="C133" i="3"/>
  <c r="D72" i="4" s="1"/>
  <c r="C66" i="3"/>
  <c r="C127" i="3" l="1"/>
  <c r="E60" i="2" s="1"/>
  <c r="C59" i="2"/>
  <c r="C93" i="3" l="1"/>
  <c r="C51" i="2" l="1"/>
  <c r="C75" i="3" s="1"/>
  <c r="C76" i="3" s="1"/>
  <c r="C82" i="3" s="1"/>
  <c r="C81" i="3" l="1"/>
  <c r="C83" i="3"/>
  <c r="C107" i="3"/>
  <c r="D95" i="4"/>
  <c r="C86" i="3"/>
  <c r="C84" i="3" l="1"/>
  <c r="D137" i="4"/>
  <c r="C85" i="3"/>
  <c r="C101" i="3"/>
  <c r="C129" i="3"/>
  <c r="D92" i="4" s="1"/>
  <c r="C88" i="3"/>
  <c r="G52" i="2" l="1"/>
  <c r="C92" i="3"/>
  <c r="C91" i="3"/>
  <c r="C102" i="3"/>
  <c r="C156" i="3"/>
  <c r="C158" i="3" s="1"/>
  <c r="D139" i="4"/>
  <c r="C105" i="3"/>
  <c r="C106" i="3" s="1"/>
  <c r="C137" i="3"/>
  <c r="D76" i="4" s="1"/>
  <c r="C139" i="3"/>
  <c r="D78" i="4" s="1"/>
  <c r="C54" i="2" l="1"/>
  <c r="C94" i="3"/>
  <c r="C124" i="3" s="1"/>
  <c r="C125" i="3" s="1"/>
  <c r="C138" i="3"/>
  <c r="D77" i="4" s="1"/>
  <c r="D140" i="4"/>
  <c r="C56" i="2"/>
  <c r="C108" i="3"/>
  <c r="D53" i="4"/>
  <c r="C70" i="2"/>
  <c r="D136" i="4" l="1"/>
  <c r="H56" i="5"/>
  <c r="H57" i="5" s="1"/>
  <c r="C168" i="3" s="1"/>
  <c r="C110" i="3"/>
  <c r="C114" i="3" s="1"/>
  <c r="C109" i="3"/>
  <c r="C143" i="3" s="1"/>
  <c r="D68" i="4" s="1"/>
  <c r="C112" i="3"/>
  <c r="E55" i="2" s="1"/>
  <c r="C204" i="3"/>
  <c r="Q30" i="5" s="1"/>
  <c r="D134" i="4"/>
  <c r="C99" i="3"/>
  <c r="C97" i="3"/>
  <c r="C95" i="3"/>
  <c r="G61" i="2" s="1"/>
  <c r="C77" i="2" l="1"/>
  <c r="C172" i="3"/>
  <c r="C155" i="3"/>
  <c r="D52" i="4" s="1"/>
  <c r="G55" i="2"/>
  <c r="E95" i="3"/>
  <c r="C126" i="3"/>
  <c r="D126" i="3" s="1"/>
  <c r="Q33" i="5"/>
  <c r="Q32" i="5"/>
  <c r="E57" i="2"/>
  <c r="Q26" i="5"/>
  <c r="E109" i="3"/>
  <c r="C131" i="3"/>
  <c r="D141" i="4"/>
  <c r="C96" i="3"/>
  <c r="C100" i="3" s="1"/>
  <c r="C77" i="3" s="1"/>
  <c r="C246" i="3"/>
  <c r="T22" i="5"/>
  <c r="C98" i="3"/>
  <c r="E112" i="3"/>
  <c r="C113" i="3"/>
  <c r="C175" i="3" l="1"/>
  <c r="H59" i="5"/>
  <c r="H60" i="5" s="1"/>
  <c r="C182" i="3" s="1"/>
  <c r="C186" i="3" s="1"/>
  <c r="C189" i="3" s="1"/>
  <c r="H62" i="5"/>
  <c r="H63" i="5" s="1"/>
  <c r="C194" i="3" s="1"/>
  <c r="C83" i="2" s="1"/>
  <c r="C174" i="3"/>
  <c r="D126" i="4"/>
  <c r="C176" i="3"/>
  <c r="C173" i="3"/>
  <c r="C177" i="3"/>
  <c r="C178" i="3"/>
  <c r="Q31" i="5"/>
  <c r="C208" i="3" s="1"/>
  <c r="C128" i="3"/>
  <c r="D91" i="4" s="1"/>
  <c r="C130" i="3"/>
  <c r="C132" i="3" s="1"/>
  <c r="D93" i="4" s="1"/>
  <c r="D138" i="4"/>
  <c r="D96" i="4"/>
  <c r="Q29" i="5"/>
  <c r="Q28" i="5"/>
  <c r="T24" i="5"/>
  <c r="T25" i="5"/>
  <c r="T23" i="5" s="1"/>
  <c r="C151" i="3" s="1"/>
  <c r="C154" i="3" s="1"/>
  <c r="Q27" i="5" l="1"/>
  <c r="C207" i="3" s="1"/>
  <c r="C80" i="2"/>
  <c r="C196" i="3"/>
  <c r="B197" i="3" s="1"/>
  <c r="D129" i="4"/>
  <c r="C187" i="3"/>
  <c r="C188" i="3"/>
  <c r="C68" i="2"/>
  <c r="D114" i="4" l="1"/>
  <c r="D50" i="4"/>
  <c r="G100" i="5"/>
  <c r="G109" i="5"/>
  <c r="G84" i="5"/>
  <c r="G96" i="5"/>
  <c r="G106" i="5"/>
  <c r="G82" i="5"/>
  <c r="G101" i="5"/>
  <c r="G86" i="5"/>
  <c r="G91" i="5"/>
  <c r="G108" i="5"/>
  <c r="G94" i="5"/>
  <c r="G90" i="5"/>
  <c r="G88" i="5"/>
  <c r="G98" i="5"/>
  <c r="G104" i="5"/>
  <c r="G83" i="5"/>
  <c r="G92" i="5"/>
  <c r="G85" i="5"/>
  <c r="G81" i="5"/>
  <c r="G93" i="5"/>
  <c r="G102" i="5"/>
  <c r="G79" i="5"/>
  <c r="G105" i="5"/>
  <c r="G89" i="5"/>
  <c r="G87" i="5"/>
  <c r="G97" i="5"/>
  <c r="G103" i="5"/>
  <c r="G99" i="5"/>
  <c r="G107" i="5"/>
  <c r="G80" i="5"/>
  <c r="G95" i="5"/>
  <c r="Q22" i="5"/>
  <c r="C159" i="3"/>
  <c r="Q24" i="5" l="1"/>
  <c r="Q25" i="5"/>
  <c r="Q23" i="5" s="1"/>
  <c r="C206" i="3" s="1"/>
  <c r="C209" i="3" s="1"/>
  <c r="D60" i="4" s="1"/>
  <c r="H93" i="5"/>
  <c r="I93" i="5"/>
  <c r="J93" i="5"/>
  <c r="H90" i="5"/>
  <c r="I90" i="5"/>
  <c r="J90" i="5"/>
  <c r="H96" i="5"/>
  <c r="I96" i="5"/>
  <c r="J96" i="5"/>
  <c r="I103" i="5"/>
  <c r="H103" i="5"/>
  <c r="J103" i="5"/>
  <c r="H104" i="5"/>
  <c r="I104" i="5"/>
  <c r="J104" i="5"/>
  <c r="H101" i="5"/>
  <c r="I101" i="5"/>
  <c r="J101" i="5"/>
  <c r="I80" i="5"/>
  <c r="H80" i="5"/>
  <c r="J80" i="5"/>
  <c r="H97" i="5"/>
  <c r="I97" i="5"/>
  <c r="J97" i="5"/>
  <c r="H79" i="5"/>
  <c r="I79" i="5"/>
  <c r="J79" i="5"/>
  <c r="I85" i="5"/>
  <c r="H85" i="5"/>
  <c r="J85" i="5"/>
  <c r="H98" i="5"/>
  <c r="I98" i="5"/>
  <c r="J98" i="5"/>
  <c r="I108" i="5"/>
  <c r="H108" i="5"/>
  <c r="J108" i="5"/>
  <c r="I82" i="5"/>
  <c r="H82" i="5"/>
  <c r="J82" i="5"/>
  <c r="H109" i="5"/>
  <c r="I109" i="5"/>
  <c r="J109" i="5"/>
  <c r="I99" i="5"/>
  <c r="H99" i="5"/>
  <c r="J99" i="5"/>
  <c r="I89" i="5"/>
  <c r="H89" i="5"/>
  <c r="J89" i="5"/>
  <c r="H83" i="5"/>
  <c r="I83" i="5"/>
  <c r="J83" i="5"/>
  <c r="I86" i="5"/>
  <c r="H86" i="5"/>
  <c r="J86" i="5"/>
  <c r="H95" i="5"/>
  <c r="I95" i="5"/>
  <c r="J95" i="5"/>
  <c r="H105" i="5"/>
  <c r="I105" i="5"/>
  <c r="J105" i="5"/>
  <c r="H81" i="5"/>
  <c r="I81" i="5"/>
  <c r="J81" i="5"/>
  <c r="I94" i="5"/>
  <c r="H94" i="5"/>
  <c r="J94" i="5"/>
  <c r="I84" i="5"/>
  <c r="H84" i="5"/>
  <c r="J84" i="5"/>
  <c r="H107" i="5"/>
  <c r="I107" i="5"/>
  <c r="J107" i="5"/>
  <c r="I87" i="5"/>
  <c r="H87" i="5"/>
  <c r="J87" i="5"/>
  <c r="I102" i="5"/>
  <c r="H102" i="5"/>
  <c r="J102" i="5"/>
  <c r="I92" i="5"/>
  <c r="H92" i="5"/>
  <c r="J92" i="5"/>
  <c r="H88" i="5"/>
  <c r="I88" i="5"/>
  <c r="J88" i="5"/>
  <c r="H91" i="5"/>
  <c r="I91" i="5"/>
  <c r="J91" i="5"/>
  <c r="I106" i="5"/>
  <c r="H106" i="5"/>
  <c r="J106" i="5"/>
  <c r="H100" i="5"/>
  <c r="I100" i="5"/>
  <c r="J100" i="5"/>
  <c r="L81" i="5" l="1"/>
  <c r="R107" i="5" s="1"/>
  <c r="K81" i="5"/>
  <c r="K82" i="5"/>
  <c r="L82" i="5"/>
  <c r="R106" i="5" s="1"/>
  <c r="L93" i="5"/>
  <c r="R95" i="5" s="1"/>
  <c r="K93" i="5"/>
  <c r="L106" i="5"/>
  <c r="R82" i="5" s="1"/>
  <c r="K106" i="5"/>
  <c r="L94" i="5"/>
  <c r="R94" i="5" s="1"/>
  <c r="K94" i="5"/>
  <c r="L109" i="5"/>
  <c r="R79" i="5" s="1"/>
  <c r="K109" i="5"/>
  <c r="L101" i="5"/>
  <c r="R87" i="5" s="1"/>
  <c r="K101" i="5"/>
  <c r="L92" i="5"/>
  <c r="R96" i="5" s="1"/>
  <c r="K92" i="5"/>
  <c r="L84" i="5"/>
  <c r="R104" i="5" s="1"/>
  <c r="K84" i="5"/>
  <c r="K95" i="5"/>
  <c r="L95" i="5"/>
  <c r="R93" i="5" s="1"/>
  <c r="K99" i="5"/>
  <c r="L99" i="5"/>
  <c r="R89" i="5" s="1"/>
  <c r="L98" i="5"/>
  <c r="R90" i="5" s="1"/>
  <c r="K98" i="5"/>
  <c r="K80" i="5"/>
  <c r="L80" i="5"/>
  <c r="R108" i="5" s="1"/>
  <c r="K96" i="5"/>
  <c r="L96" i="5"/>
  <c r="R92" i="5" s="1"/>
  <c r="K91" i="5"/>
  <c r="L91" i="5"/>
  <c r="R97" i="5" s="1"/>
  <c r="L87" i="5"/>
  <c r="R101" i="5" s="1"/>
  <c r="K87" i="5"/>
  <c r="L83" i="5"/>
  <c r="R105" i="5" s="1"/>
  <c r="K83" i="5"/>
  <c r="L79" i="5"/>
  <c r="R109" i="5" s="1"/>
  <c r="K79" i="5"/>
  <c r="L104" i="5"/>
  <c r="R84" i="5" s="1"/>
  <c r="K104" i="5"/>
  <c r="L102" i="5"/>
  <c r="R86" i="5" s="1"/>
  <c r="K102" i="5"/>
  <c r="L86" i="5"/>
  <c r="R102" i="5" s="1"/>
  <c r="K86" i="5"/>
  <c r="K85" i="5"/>
  <c r="L85" i="5"/>
  <c r="R103" i="5" s="1"/>
  <c r="K90" i="5"/>
  <c r="L90" i="5"/>
  <c r="R98" i="5" s="1"/>
  <c r="K100" i="5"/>
  <c r="L100" i="5"/>
  <c r="R88" i="5" s="1"/>
  <c r="K88" i="5"/>
  <c r="L88" i="5"/>
  <c r="R100" i="5" s="1"/>
  <c r="L107" i="5"/>
  <c r="R81" i="5" s="1"/>
  <c r="K107" i="5"/>
  <c r="L105" i="5"/>
  <c r="R83" i="5" s="1"/>
  <c r="K105" i="5"/>
  <c r="L89" i="5"/>
  <c r="R99" i="5" s="1"/>
  <c r="K89" i="5"/>
  <c r="L108" i="5"/>
  <c r="R80" i="5" s="1"/>
  <c r="K108" i="5"/>
  <c r="L97" i="5"/>
  <c r="R91" i="5" s="1"/>
  <c r="K97" i="5"/>
  <c r="K103" i="5"/>
  <c r="L103" i="5"/>
  <c r="R85" i="5" s="1"/>
  <c r="W78" i="5" l="1"/>
  <c r="W81" i="5" s="1"/>
  <c r="W83" i="5" l="1"/>
  <c r="W82" i="5" s="1"/>
  <c r="C250" i="3" s="1"/>
  <c r="C252" i="3" s="1"/>
  <c r="W84" i="5"/>
  <c r="C107" i="2" l="1"/>
  <c r="D64" i="4"/>
</calcChain>
</file>

<file path=xl/sharedStrings.xml><?xml version="1.0" encoding="utf-8"?>
<sst xmlns="http://schemas.openxmlformats.org/spreadsheetml/2006/main" count="1424" uniqueCount="924">
  <si>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</si>
  <si>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</si>
  <si>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UCC28740 DESIGN CALCULATOR TOOL</t>
  </si>
  <si>
    <t>UCC28740 CONSTANT-VOLTAGE, CONSTANT-CURRENT FLYBACK DESIGN CALCULATOR</t>
  </si>
  <si>
    <t>CLEAR ALL USER INPUT CELLS BEFORE STARTING A NEW DESIGN</t>
  </si>
  <si>
    <t>DESIGN REQUIREMENTS</t>
  </si>
  <si>
    <t>Input voltage type:</t>
  </si>
  <si>
    <t>AC</t>
  </si>
  <si>
    <t>DC</t>
  </si>
  <si>
    <t>UCC28740 DESIGN CALCULATIONS</t>
  </si>
  <si>
    <t>V</t>
  </si>
  <si>
    <t>VDC</t>
  </si>
  <si>
    <t>A</t>
  </si>
  <si>
    <t>W</t>
  </si>
  <si>
    <t>mV</t>
  </si>
  <si>
    <t>kHz</t>
  </si>
  <si>
    <t>INPUT SPECIFICATIONS</t>
  </si>
  <si>
    <t>OUTPUT SPECIFICATIONS</t>
  </si>
  <si>
    <t>COMPONENT</t>
  </si>
  <si>
    <t>Standard E48 Resistor Values</t>
  </si>
  <si>
    <t>Standard Capacitor Values</t>
  </si>
  <si>
    <t>C values up to 10nF</t>
  </si>
  <si>
    <t>C values greater than 10nF</t>
  </si>
  <si>
    <t>µF</t>
  </si>
  <si>
    <t>ms</t>
  </si>
  <si>
    <t>Choose either AC or DC</t>
  </si>
  <si>
    <t>INPUT</t>
  </si>
  <si>
    <t>OUTPUT</t>
  </si>
  <si>
    <t>pF</t>
  </si>
  <si>
    <t>for desired bulk valley voltage</t>
  </si>
  <si>
    <t>Resultant Minimum Bulk Voltage Calculations:</t>
  </si>
  <si>
    <t>s</t>
  </si>
  <si>
    <t>First Iteration:</t>
  </si>
  <si>
    <t>Second Iteration:</t>
  </si>
  <si>
    <t>Initial Calculations:</t>
  </si>
  <si>
    <t>Third Iteration:</t>
  </si>
  <si>
    <t>mA</t>
  </si>
  <si>
    <t>µs</t>
  </si>
  <si>
    <t>COMMENT</t>
  </si>
  <si>
    <t>Enter actual input bulk capacitor used</t>
  </si>
  <si>
    <r>
      <t>Enter V</t>
    </r>
    <r>
      <rPr>
        <vertAlign val="subscript"/>
        <sz val="11"/>
        <color theme="1"/>
        <rFont val="Arial"/>
        <family val="2"/>
      </rPr>
      <t>F</t>
    </r>
    <r>
      <rPr>
        <sz val="11"/>
        <color theme="1"/>
        <rFont val="Arial"/>
        <family val="2"/>
      </rPr>
      <t xml:space="preserve"> at full load</t>
    </r>
  </si>
  <si>
    <t>Enter 0 if no secondary LC filter used</t>
  </si>
  <si>
    <t>mV factor</t>
  </si>
  <si>
    <t>uF factor</t>
  </si>
  <si>
    <t>kHz factor</t>
  </si>
  <si>
    <t>ms factor</t>
  </si>
  <si>
    <t>mA factor</t>
  </si>
  <si>
    <t>us factor</t>
  </si>
  <si>
    <t>Ω</t>
  </si>
  <si>
    <t>uH factor</t>
  </si>
  <si>
    <t>µH</t>
  </si>
  <si>
    <t>ns factor</t>
  </si>
  <si>
    <t>ns</t>
  </si>
  <si>
    <t>Hz</t>
  </si>
  <si>
    <t>Input Voltage Type, AC or DC:</t>
  </si>
  <si>
    <r>
      <t>Minimum Input Voltage, V</t>
    </r>
    <r>
      <rPr>
        <vertAlign val="subscript"/>
        <sz val="11"/>
        <color theme="1"/>
        <rFont val="Arial"/>
        <family val="2"/>
      </rPr>
      <t>INPUTmin</t>
    </r>
    <r>
      <rPr>
        <sz val="11"/>
        <color theme="1"/>
        <rFont val="Arial"/>
        <family val="2"/>
      </rPr>
      <t xml:space="preserve"> =</t>
    </r>
  </si>
  <si>
    <r>
      <t>Maximum Input Voltage, V</t>
    </r>
    <r>
      <rPr>
        <vertAlign val="subscript"/>
        <sz val="11"/>
        <color theme="1"/>
        <rFont val="Arial"/>
        <family val="2"/>
      </rPr>
      <t>INPUTmax</t>
    </r>
    <r>
      <rPr>
        <sz val="11"/>
        <color theme="1"/>
        <rFont val="Arial"/>
        <family val="2"/>
      </rPr>
      <t xml:space="preserve"> =</t>
    </r>
  </si>
  <si>
    <t>The Values Entered by the User on the DESIGN INPUT Page are Used in the Design Calculations</t>
  </si>
  <si>
    <t>mΩ</t>
  </si>
  <si>
    <t>mΩ factor</t>
  </si>
  <si>
    <r>
      <t>C</t>
    </r>
    <r>
      <rPr>
        <vertAlign val="subscript"/>
        <sz val="11"/>
        <color theme="1"/>
        <rFont val="Arial"/>
        <family val="2"/>
      </rPr>
      <t>IN</t>
    </r>
    <r>
      <rPr>
        <sz val="11"/>
        <color theme="1"/>
        <rFont val="Arial"/>
        <family val="2"/>
      </rPr>
      <t xml:space="preserve"> Calculations:</t>
    </r>
  </si>
  <si>
    <r>
      <t>C</t>
    </r>
    <r>
      <rPr>
        <vertAlign val="subscript"/>
        <sz val="11"/>
        <color theme="1"/>
        <rFont val="Arial"/>
        <family val="2"/>
      </rPr>
      <t>IN</t>
    </r>
    <r>
      <rPr>
        <sz val="11"/>
        <color theme="1"/>
        <rFont val="Arial"/>
        <family val="2"/>
      </rPr>
      <t xml:space="preserve"> Recommended:</t>
    </r>
  </si>
  <si>
    <r>
      <t>t</t>
    </r>
    <r>
      <rPr>
        <vertAlign val="subscript"/>
        <sz val="11"/>
        <color theme="1"/>
        <rFont val="Arial"/>
        <family val="2"/>
      </rPr>
      <t>1</t>
    </r>
  </si>
  <si>
    <r>
      <t>t</t>
    </r>
    <r>
      <rPr>
        <vertAlign val="subscript"/>
        <sz val="11"/>
        <color theme="1"/>
        <rFont val="Arial"/>
        <family val="2"/>
      </rPr>
      <t>2</t>
    </r>
  </si>
  <si>
    <r>
      <t>t</t>
    </r>
    <r>
      <rPr>
        <vertAlign val="subscript"/>
        <sz val="11"/>
        <color theme="1"/>
        <rFont val="Arial"/>
        <family val="2"/>
      </rPr>
      <t>discharge</t>
    </r>
  </si>
  <si>
    <r>
      <t>t</t>
    </r>
    <r>
      <rPr>
        <vertAlign val="subscript"/>
        <sz val="11"/>
        <color theme="1"/>
        <rFont val="Arial"/>
        <family val="2"/>
      </rPr>
      <t>charge</t>
    </r>
  </si>
  <si>
    <r>
      <t>V</t>
    </r>
    <r>
      <rPr>
        <vertAlign val="subscript"/>
        <sz val="11"/>
        <color theme="1"/>
        <rFont val="Arial"/>
        <family val="2"/>
      </rPr>
      <t>BULKvalley_1</t>
    </r>
  </si>
  <si>
    <r>
      <t>t</t>
    </r>
    <r>
      <rPr>
        <vertAlign val="subscript"/>
        <sz val="11"/>
        <color theme="1"/>
        <rFont val="Arial"/>
        <family val="2"/>
      </rPr>
      <t>1_1</t>
    </r>
  </si>
  <si>
    <r>
      <t>t</t>
    </r>
    <r>
      <rPr>
        <vertAlign val="subscript"/>
        <sz val="11"/>
        <color theme="1"/>
        <rFont val="Arial"/>
        <family val="2"/>
      </rPr>
      <t>2_1</t>
    </r>
  </si>
  <si>
    <r>
      <t>t</t>
    </r>
    <r>
      <rPr>
        <vertAlign val="subscript"/>
        <sz val="11"/>
        <color theme="1"/>
        <rFont val="Arial"/>
        <family val="2"/>
      </rPr>
      <t>discharge_1</t>
    </r>
  </si>
  <si>
    <r>
      <t>t</t>
    </r>
    <r>
      <rPr>
        <vertAlign val="subscript"/>
        <sz val="11"/>
        <color theme="1"/>
        <rFont val="Arial"/>
        <family val="2"/>
      </rPr>
      <t>charge_1</t>
    </r>
  </si>
  <si>
    <r>
      <t>V</t>
    </r>
    <r>
      <rPr>
        <vertAlign val="subscript"/>
        <sz val="11"/>
        <color theme="1"/>
        <rFont val="Arial"/>
        <family val="2"/>
      </rPr>
      <t>BULKvalley_2</t>
    </r>
  </si>
  <si>
    <r>
      <t>t</t>
    </r>
    <r>
      <rPr>
        <vertAlign val="subscript"/>
        <sz val="11"/>
        <color theme="1"/>
        <rFont val="Arial"/>
        <family val="2"/>
      </rPr>
      <t>1_2</t>
    </r>
  </si>
  <si>
    <r>
      <t>t</t>
    </r>
    <r>
      <rPr>
        <vertAlign val="subscript"/>
        <sz val="11"/>
        <color theme="1"/>
        <rFont val="Arial"/>
        <family val="2"/>
      </rPr>
      <t>2_2</t>
    </r>
  </si>
  <si>
    <r>
      <t>t</t>
    </r>
    <r>
      <rPr>
        <vertAlign val="subscript"/>
        <sz val="11"/>
        <color theme="1"/>
        <rFont val="Arial"/>
        <family val="2"/>
      </rPr>
      <t>discharge_2</t>
    </r>
  </si>
  <si>
    <r>
      <t>t</t>
    </r>
    <r>
      <rPr>
        <vertAlign val="subscript"/>
        <sz val="11"/>
        <color theme="1"/>
        <rFont val="Arial"/>
        <family val="2"/>
      </rPr>
      <t>charge_2</t>
    </r>
  </si>
  <si>
    <r>
      <t>V</t>
    </r>
    <r>
      <rPr>
        <vertAlign val="subscript"/>
        <sz val="11"/>
        <color theme="1"/>
        <rFont val="Arial"/>
        <family val="2"/>
      </rPr>
      <t>BULKvalley_3</t>
    </r>
  </si>
  <si>
    <r>
      <t>t</t>
    </r>
    <r>
      <rPr>
        <vertAlign val="subscript"/>
        <sz val="11"/>
        <color theme="1"/>
        <rFont val="Arial"/>
        <family val="2"/>
      </rPr>
      <t>1_3</t>
    </r>
  </si>
  <si>
    <r>
      <t>t</t>
    </r>
    <r>
      <rPr>
        <vertAlign val="subscript"/>
        <sz val="11"/>
        <color theme="1"/>
        <rFont val="Arial"/>
        <family val="2"/>
      </rPr>
      <t>2_3</t>
    </r>
  </si>
  <si>
    <r>
      <t>t</t>
    </r>
    <r>
      <rPr>
        <vertAlign val="subscript"/>
        <sz val="11"/>
        <color theme="1"/>
        <rFont val="Arial"/>
        <family val="2"/>
      </rPr>
      <t>discharge_3</t>
    </r>
  </si>
  <si>
    <r>
      <t>t</t>
    </r>
    <r>
      <rPr>
        <vertAlign val="subscript"/>
        <sz val="11"/>
        <color theme="1"/>
        <rFont val="Arial"/>
        <family val="2"/>
      </rPr>
      <t>charge_3</t>
    </r>
  </si>
  <si>
    <r>
      <t>V</t>
    </r>
    <r>
      <rPr>
        <vertAlign val="subscript"/>
        <sz val="11"/>
        <color theme="1"/>
        <rFont val="Arial"/>
        <family val="2"/>
      </rPr>
      <t>BULKvalley_4</t>
    </r>
  </si>
  <si>
    <r>
      <t>Nominal Input Voltage, V</t>
    </r>
    <r>
      <rPr>
        <vertAlign val="subscript"/>
        <sz val="11"/>
        <color theme="1"/>
        <rFont val="Arial"/>
        <family val="2"/>
      </rPr>
      <t>INPUTnom</t>
    </r>
    <r>
      <rPr>
        <sz val="11"/>
        <color theme="1"/>
        <rFont val="Arial"/>
        <family val="2"/>
      </rPr>
      <t xml:space="preserve"> =</t>
    </r>
  </si>
  <si>
    <r>
      <t>Minimum Line Frequency, f</t>
    </r>
    <r>
      <rPr>
        <vertAlign val="subscript"/>
        <sz val="11"/>
        <color theme="1"/>
        <rFont val="Arial"/>
        <family val="2"/>
      </rPr>
      <t>LINEmin</t>
    </r>
    <r>
      <rPr>
        <sz val="11"/>
        <color theme="1"/>
        <rFont val="Arial"/>
        <family val="2"/>
      </rPr>
      <t xml:space="preserve"> =</t>
    </r>
  </si>
  <si>
    <r>
      <t>Minimum Input Voltage for Start-Up, V</t>
    </r>
    <r>
      <rPr>
        <vertAlign val="subscript"/>
        <sz val="11"/>
        <color theme="1"/>
        <rFont val="Arial"/>
        <family val="2"/>
      </rPr>
      <t>INPUTrun</t>
    </r>
    <r>
      <rPr>
        <sz val="11"/>
        <color theme="1"/>
        <rFont val="Arial"/>
        <family val="2"/>
      </rPr>
      <t xml:space="preserve"> =</t>
    </r>
  </si>
  <si>
    <r>
      <t>Regulated Output Voltage, Constant Voltage Mode, V</t>
    </r>
    <r>
      <rPr>
        <vertAlign val="subscript"/>
        <sz val="11"/>
        <color theme="1"/>
        <rFont val="Arial"/>
        <family val="2"/>
      </rPr>
      <t>OUT_CV</t>
    </r>
    <r>
      <rPr>
        <sz val="11"/>
        <color theme="1"/>
        <rFont val="Arial"/>
        <family val="2"/>
      </rPr>
      <t xml:space="preserve"> =</t>
    </r>
  </si>
  <si>
    <r>
      <t>Target Minimum Output Voltage During Constant Current Regulation, V</t>
    </r>
    <r>
      <rPr>
        <vertAlign val="subscript"/>
        <sz val="11"/>
        <color theme="1"/>
        <rFont val="Arial"/>
        <family val="2"/>
      </rPr>
      <t>OUT_CC</t>
    </r>
    <r>
      <rPr>
        <sz val="11"/>
        <color theme="1"/>
        <rFont val="Arial"/>
        <family val="2"/>
      </rPr>
      <t xml:space="preserve"> =</t>
    </r>
  </si>
  <si>
    <r>
      <t>Maximum Peak to Peak Output Voltage Ripple, V</t>
    </r>
    <r>
      <rPr>
        <vertAlign val="subscript"/>
        <sz val="11"/>
        <color theme="1"/>
        <rFont val="Arial"/>
        <family val="2"/>
      </rPr>
      <t>RIPPLE</t>
    </r>
    <r>
      <rPr>
        <sz val="11"/>
        <color theme="1"/>
        <rFont val="Arial"/>
        <family val="2"/>
      </rPr>
      <t xml:space="preserve"> =</t>
    </r>
  </si>
  <si>
    <r>
      <t>INPUT CAPACITOR, C</t>
    </r>
    <r>
      <rPr>
        <b/>
        <i/>
        <vertAlign val="subscript"/>
        <sz val="11"/>
        <color theme="0"/>
        <rFont val="Arial"/>
        <family val="2"/>
      </rPr>
      <t>BULK</t>
    </r>
  </si>
  <si>
    <r>
      <rPr>
        <b/>
        <sz val="11"/>
        <color theme="1"/>
        <rFont val="Arial"/>
        <family val="2"/>
      </rPr>
      <t>Recommended</t>
    </r>
    <r>
      <rPr>
        <sz val="11"/>
        <color theme="1"/>
        <rFont val="Arial"/>
        <family val="2"/>
      </rPr>
      <t xml:space="preserve"> Input Bulk Capacitance, C</t>
    </r>
    <r>
      <rPr>
        <vertAlign val="subscript"/>
        <sz val="11"/>
        <color theme="1"/>
        <rFont val="Arial"/>
        <family val="2"/>
      </rPr>
      <t>BULK</t>
    </r>
    <r>
      <rPr>
        <sz val="11"/>
        <color theme="1"/>
        <rFont val="Arial"/>
        <family val="2"/>
      </rPr>
      <t xml:space="preserve"> =</t>
    </r>
  </si>
  <si>
    <t>PARAMETER</t>
  </si>
  <si>
    <r>
      <rPr>
        <b/>
        <sz val="11"/>
        <color theme="1"/>
        <rFont val="Arial"/>
        <family val="2"/>
      </rPr>
      <t>Actual</t>
    </r>
    <r>
      <rPr>
        <sz val="11"/>
        <color theme="1"/>
        <rFont val="Arial"/>
        <family val="2"/>
      </rPr>
      <t xml:space="preserve"> Input Bulk Capacitance, C</t>
    </r>
    <r>
      <rPr>
        <vertAlign val="subscript"/>
        <sz val="11"/>
        <color theme="1"/>
        <rFont val="Arial"/>
        <family val="2"/>
      </rPr>
      <t>BULK</t>
    </r>
    <r>
      <rPr>
        <sz val="11"/>
        <color theme="1"/>
        <rFont val="Arial"/>
        <family val="2"/>
      </rPr>
      <t>, Used =</t>
    </r>
  </si>
  <si>
    <r>
      <t>Output Rectifier, D</t>
    </r>
    <r>
      <rPr>
        <b/>
        <vertAlign val="subscript"/>
        <sz val="11"/>
        <color theme="0"/>
        <rFont val="Arial"/>
        <family val="2"/>
      </rPr>
      <t>OUT</t>
    </r>
  </si>
  <si>
    <r>
      <t>Output Inductor, L</t>
    </r>
    <r>
      <rPr>
        <b/>
        <vertAlign val="subscript"/>
        <sz val="11"/>
        <color theme="0"/>
        <rFont val="Arial"/>
        <family val="2"/>
      </rPr>
      <t>OUT</t>
    </r>
  </si>
  <si>
    <t>MOSFET Switch, Q</t>
  </si>
  <si>
    <r>
      <t>Input Capacitor, C</t>
    </r>
    <r>
      <rPr>
        <b/>
        <vertAlign val="subscript"/>
        <sz val="11"/>
        <color theme="0"/>
        <rFont val="Arial"/>
        <family val="2"/>
      </rPr>
      <t>BULK</t>
    </r>
  </si>
  <si>
    <t>Flyback Transformer, T</t>
  </si>
  <si>
    <t>User Input Values From Design Input Page</t>
  </si>
  <si>
    <t>User Input</t>
  </si>
  <si>
    <r>
      <t>Forward Voltage Drop of Output Rectifier, V</t>
    </r>
    <r>
      <rPr>
        <vertAlign val="subscript"/>
        <sz val="11"/>
        <color theme="1"/>
        <rFont val="Arial"/>
        <family val="2"/>
      </rPr>
      <t>F</t>
    </r>
    <r>
      <rPr>
        <sz val="11"/>
        <color theme="1"/>
        <rFont val="Arial"/>
        <family val="2"/>
      </rPr>
      <t xml:space="preserve"> =</t>
    </r>
  </si>
  <si>
    <r>
      <t>DCR of Output Inductor, DCR</t>
    </r>
    <r>
      <rPr>
        <vertAlign val="subscript"/>
        <sz val="11"/>
        <color theme="1"/>
        <rFont val="Arial"/>
        <family val="2"/>
      </rPr>
      <t>Lout</t>
    </r>
    <r>
      <rPr>
        <sz val="11"/>
        <color theme="1"/>
        <rFont val="Arial"/>
        <family val="2"/>
      </rPr>
      <t>, if used =</t>
    </r>
  </si>
  <si>
    <t>MOSFET, Q</t>
  </si>
  <si>
    <r>
      <t>MOSFET Rated Drain to Source Voltage, V</t>
    </r>
    <r>
      <rPr>
        <vertAlign val="subscript"/>
        <sz val="11"/>
        <color theme="1"/>
        <rFont val="Arial"/>
        <family val="2"/>
      </rPr>
      <t>DS</t>
    </r>
    <r>
      <rPr>
        <sz val="11"/>
        <color theme="1"/>
        <rFont val="Arial"/>
        <family val="2"/>
      </rPr>
      <t xml:space="preserve"> =</t>
    </r>
  </si>
  <si>
    <r>
      <t>Enter Actual N</t>
    </r>
    <r>
      <rPr>
        <vertAlign val="subscript"/>
        <sz val="11"/>
        <color theme="1"/>
        <rFont val="Arial"/>
        <family val="2"/>
      </rPr>
      <t>PS</t>
    </r>
    <r>
      <rPr>
        <sz val="11"/>
        <color theme="1"/>
        <rFont val="Arial"/>
        <family val="2"/>
      </rPr>
      <t xml:space="preserve"> of Transformer Used</t>
    </r>
  </si>
  <si>
    <r>
      <t>Current Sense Resistor, R</t>
    </r>
    <r>
      <rPr>
        <b/>
        <vertAlign val="subscript"/>
        <sz val="11"/>
        <color theme="0"/>
        <rFont val="Arial"/>
        <family val="2"/>
      </rPr>
      <t>CS</t>
    </r>
  </si>
  <si>
    <r>
      <rPr>
        <b/>
        <sz val="11"/>
        <color theme="1"/>
        <rFont val="Arial"/>
        <family val="2"/>
      </rPr>
      <t>Recommended</t>
    </r>
    <r>
      <rPr>
        <sz val="11"/>
        <color theme="1"/>
        <rFont val="Arial"/>
        <family val="2"/>
      </rPr>
      <t xml:space="preserve"> Primary Inductance Value, L</t>
    </r>
    <r>
      <rPr>
        <vertAlign val="subscript"/>
        <sz val="11"/>
        <color theme="1"/>
        <rFont val="Arial"/>
        <family val="2"/>
      </rPr>
      <t>P</t>
    </r>
    <r>
      <rPr>
        <sz val="11"/>
        <color theme="1"/>
        <rFont val="Arial"/>
        <family val="2"/>
      </rPr>
      <t xml:space="preserve"> =</t>
    </r>
  </si>
  <si>
    <r>
      <rPr>
        <b/>
        <sz val="11"/>
        <color theme="1"/>
        <rFont val="Arial"/>
        <family val="2"/>
      </rPr>
      <t>Actual</t>
    </r>
    <r>
      <rPr>
        <sz val="11"/>
        <color theme="1"/>
        <rFont val="Arial"/>
        <family val="2"/>
      </rPr>
      <t xml:space="preserve"> Primary to Secondary Turns Ratio Used, N</t>
    </r>
    <r>
      <rPr>
        <vertAlign val="subscript"/>
        <sz val="11"/>
        <color theme="1"/>
        <rFont val="Arial"/>
        <family val="2"/>
      </rPr>
      <t>PS</t>
    </r>
    <r>
      <rPr>
        <sz val="11"/>
        <color theme="1"/>
        <rFont val="Arial"/>
        <family val="2"/>
      </rPr>
      <t xml:space="preserve">  =</t>
    </r>
  </si>
  <si>
    <r>
      <t>Output Capacitance of Selected MOSFET, C</t>
    </r>
    <r>
      <rPr>
        <vertAlign val="subscript"/>
        <sz val="11"/>
        <color theme="1"/>
        <rFont val="Arial"/>
        <family val="2"/>
      </rPr>
      <t>OSS</t>
    </r>
    <r>
      <rPr>
        <sz val="11"/>
        <color theme="1"/>
        <rFont val="Arial"/>
        <family val="2"/>
      </rPr>
      <t xml:space="preserve"> =</t>
    </r>
  </si>
  <si>
    <r>
      <rPr>
        <b/>
        <sz val="11"/>
        <color theme="1"/>
        <rFont val="Arial"/>
        <family val="2"/>
      </rPr>
      <t xml:space="preserve">Actual </t>
    </r>
    <r>
      <rPr>
        <sz val="11"/>
        <color theme="1"/>
        <rFont val="Arial"/>
        <family val="2"/>
      </rPr>
      <t>Primary Inductance Used, L</t>
    </r>
    <r>
      <rPr>
        <vertAlign val="subscript"/>
        <sz val="11"/>
        <color theme="1"/>
        <rFont val="Arial"/>
        <family val="2"/>
      </rPr>
      <t xml:space="preserve">P </t>
    </r>
    <r>
      <rPr>
        <sz val="11"/>
        <color theme="1"/>
        <rFont val="Arial"/>
        <family val="2"/>
      </rPr>
      <t>=</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</si>
  <si>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</si>
  <si>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AC or DC:</t>
  </si>
  <si>
    <t>Input Voltage Type</t>
  </si>
  <si>
    <t>mW factor</t>
  </si>
  <si>
    <t>mW</t>
  </si>
  <si>
    <r>
      <t>I</t>
    </r>
    <r>
      <rPr>
        <vertAlign val="subscript"/>
        <sz val="11"/>
        <color theme="1"/>
        <rFont val="Arial"/>
        <family val="2"/>
      </rPr>
      <t>PRI_RMS</t>
    </r>
    <r>
      <rPr>
        <sz val="11"/>
        <color theme="1"/>
        <rFont val="Arial"/>
        <family val="2"/>
      </rPr>
      <t xml:space="preserve"> =</t>
    </r>
  </si>
  <si>
    <t>COMPONENT PARAMETER CALCULATIONS</t>
  </si>
  <si>
    <t>Maximum Input Voltage</t>
  </si>
  <si>
    <t>Minimum Input Voltage</t>
  </si>
  <si>
    <r>
      <t>Drain to Source On-Resistance of Selected MOSFET, R</t>
    </r>
    <r>
      <rPr>
        <vertAlign val="subscript"/>
        <sz val="11"/>
        <color theme="1"/>
        <rFont val="Arial"/>
        <family val="2"/>
      </rPr>
      <t>DSon</t>
    </r>
    <r>
      <rPr>
        <sz val="11"/>
        <color theme="1"/>
        <rFont val="Arial"/>
        <family val="2"/>
      </rPr>
      <t xml:space="preserve"> =</t>
    </r>
  </si>
  <si>
    <t xml:space="preserve">Nominal Input Voltage </t>
  </si>
  <si>
    <t>Minimum Line Frequency</t>
  </si>
  <si>
    <t>Minimum Input Voltage for Start-Up</t>
  </si>
  <si>
    <t xml:space="preserve">Minimum Peak Bulk Input Voltage </t>
  </si>
  <si>
    <r>
      <t>V</t>
    </r>
    <r>
      <rPr>
        <vertAlign val="subscript"/>
        <sz val="11"/>
        <color theme="1"/>
        <rFont val="Arial"/>
        <family val="2"/>
      </rPr>
      <t>BULKmin</t>
    </r>
    <r>
      <rPr>
        <sz val="11"/>
        <color theme="1"/>
        <rFont val="Arial"/>
        <family val="2"/>
      </rPr>
      <t xml:space="preserve"> =</t>
    </r>
  </si>
  <si>
    <t>Maximum Peak Bulk Input Voltage</t>
  </si>
  <si>
    <r>
      <t>V</t>
    </r>
    <r>
      <rPr>
        <vertAlign val="subscript"/>
        <sz val="11"/>
        <color theme="1"/>
        <rFont val="Arial"/>
        <family val="2"/>
      </rPr>
      <t>BULKmax</t>
    </r>
    <r>
      <rPr>
        <sz val="11"/>
        <color theme="1"/>
        <rFont val="Arial"/>
        <family val="2"/>
      </rPr>
      <t xml:space="preserve"> =</t>
    </r>
  </si>
  <si>
    <t>Nominal Peak Bulk Input Voltage</t>
  </si>
  <si>
    <r>
      <t>V</t>
    </r>
    <r>
      <rPr>
        <vertAlign val="subscript"/>
        <sz val="11"/>
        <color theme="1"/>
        <rFont val="Arial"/>
        <family val="2"/>
      </rPr>
      <t>BULKnom</t>
    </r>
    <r>
      <rPr>
        <sz val="11"/>
        <color theme="1"/>
        <rFont val="Arial"/>
        <family val="2"/>
      </rPr>
      <t xml:space="preserve"> =</t>
    </r>
  </si>
  <si>
    <r>
      <t>V</t>
    </r>
    <r>
      <rPr>
        <vertAlign val="subscript"/>
        <sz val="11"/>
        <color theme="1"/>
        <rFont val="Arial"/>
        <family val="2"/>
      </rPr>
      <t>BULKstartup</t>
    </r>
    <r>
      <rPr>
        <sz val="11"/>
        <color theme="1"/>
        <rFont val="Arial"/>
        <family val="2"/>
      </rPr>
      <t xml:space="preserve"> =</t>
    </r>
  </si>
  <si>
    <t>Turn-On Peak Bulk Input Voltage</t>
  </si>
  <si>
    <r>
      <t>t</t>
    </r>
    <r>
      <rPr>
        <vertAlign val="subscript"/>
        <sz val="11"/>
        <color theme="1"/>
        <rFont val="Arial"/>
        <family val="2"/>
      </rPr>
      <t>LINE</t>
    </r>
    <r>
      <rPr>
        <sz val="11"/>
        <color theme="1"/>
        <rFont val="Arial"/>
        <family val="2"/>
      </rPr>
      <t xml:space="preserve"> = </t>
    </r>
  </si>
  <si>
    <t xml:space="preserve">Line Cycle Period </t>
  </si>
  <si>
    <t xml:space="preserve">Regulated Output Voltage, Constant Voltage Mode </t>
  </si>
  <si>
    <t>Target Minimum Output Voltage During Constant Current Regulation</t>
  </si>
  <si>
    <t>η  =</t>
  </si>
  <si>
    <t>Estimated Input Power</t>
  </si>
  <si>
    <t>Output Power</t>
  </si>
  <si>
    <t>Estimated Efficiency</t>
  </si>
  <si>
    <t>Maximum Peak to Peak Output Voltage Ripple</t>
  </si>
  <si>
    <t>Allowable Output Voltage Drop During Load-Step Transient in Constant Voltage Mode</t>
  </si>
  <si>
    <r>
      <t>P</t>
    </r>
    <r>
      <rPr>
        <vertAlign val="subscript"/>
        <sz val="11"/>
        <color theme="1"/>
        <rFont val="Arial"/>
        <family val="2"/>
      </rPr>
      <t>OUT</t>
    </r>
    <r>
      <rPr>
        <sz val="11"/>
        <color theme="1"/>
        <rFont val="Arial"/>
        <family val="2"/>
      </rPr>
      <t xml:space="preserve"> =</t>
    </r>
  </si>
  <si>
    <r>
      <t>P</t>
    </r>
    <r>
      <rPr>
        <vertAlign val="subscript"/>
        <sz val="11"/>
        <color theme="1"/>
        <rFont val="Arial"/>
        <family val="2"/>
      </rPr>
      <t>IN</t>
    </r>
    <r>
      <rPr>
        <sz val="11"/>
        <color theme="1"/>
        <rFont val="Arial"/>
        <family val="2"/>
      </rPr>
      <t xml:space="preserve"> =</t>
    </r>
  </si>
  <si>
    <r>
      <rPr>
        <b/>
        <sz val="11"/>
        <color theme="1"/>
        <rFont val="Arial"/>
        <family val="2"/>
      </rPr>
      <t>Recommended</t>
    </r>
    <r>
      <rPr>
        <sz val="11"/>
        <color theme="1"/>
        <rFont val="Arial"/>
        <family val="2"/>
      </rPr>
      <t xml:space="preserve"> Input Bulk Capacitance</t>
    </r>
  </si>
  <si>
    <r>
      <t>C</t>
    </r>
    <r>
      <rPr>
        <vertAlign val="subscript"/>
        <sz val="11"/>
        <color theme="1"/>
        <rFont val="Arial"/>
        <family val="2"/>
      </rPr>
      <t>BULKrecommended</t>
    </r>
    <r>
      <rPr>
        <sz val="11"/>
        <color theme="1"/>
        <rFont val="Arial"/>
        <family val="2"/>
      </rPr>
      <t xml:space="preserve"> =</t>
    </r>
  </si>
  <si>
    <r>
      <rPr>
        <b/>
        <sz val="11"/>
        <color theme="1"/>
        <rFont val="Arial"/>
        <family val="2"/>
      </rPr>
      <t>Actual</t>
    </r>
    <r>
      <rPr>
        <sz val="11"/>
        <color theme="1"/>
        <rFont val="Arial"/>
        <family val="2"/>
      </rPr>
      <t xml:space="preserve"> Input Bulk Capacitance</t>
    </r>
  </si>
  <si>
    <r>
      <t>C</t>
    </r>
    <r>
      <rPr>
        <vertAlign val="subscript"/>
        <sz val="11"/>
        <color theme="1"/>
        <rFont val="Arial"/>
        <family val="2"/>
      </rPr>
      <t>BULKactual</t>
    </r>
    <r>
      <rPr>
        <sz val="11"/>
        <color theme="1"/>
        <rFont val="Arial"/>
        <family val="2"/>
      </rPr>
      <t xml:space="preserve"> =</t>
    </r>
  </si>
  <si>
    <t>Input Capacitor Value Used in Calculations</t>
  </si>
  <si>
    <r>
      <t>C</t>
    </r>
    <r>
      <rPr>
        <vertAlign val="subscript"/>
        <sz val="11"/>
        <color theme="1"/>
        <rFont val="Arial"/>
        <family val="2"/>
      </rPr>
      <t xml:space="preserve">BULK </t>
    </r>
    <r>
      <rPr>
        <sz val="11"/>
        <color theme="1"/>
        <rFont val="Arial"/>
        <family val="2"/>
      </rPr>
      <t>=</t>
    </r>
  </si>
  <si>
    <t>Minimum Valley Voltage on Input Bulk Capacitors</t>
  </si>
  <si>
    <r>
      <t>V</t>
    </r>
    <r>
      <rPr>
        <vertAlign val="subscript"/>
        <sz val="11"/>
        <color theme="1"/>
        <rFont val="Arial"/>
        <family val="2"/>
      </rPr>
      <t>BULKvalley</t>
    </r>
    <r>
      <rPr>
        <sz val="11"/>
        <color theme="1"/>
        <rFont val="Arial"/>
        <family val="2"/>
      </rPr>
      <t xml:space="preserve"> =</t>
    </r>
  </si>
  <si>
    <t>Minimum Input Capacitor Ripple Current Rating</t>
  </si>
  <si>
    <r>
      <t>I</t>
    </r>
    <r>
      <rPr>
        <vertAlign val="subscript"/>
        <sz val="11"/>
        <color theme="1"/>
        <rFont val="Arial"/>
        <family val="2"/>
      </rPr>
      <t>CINripple</t>
    </r>
    <r>
      <rPr>
        <sz val="11"/>
        <color theme="1"/>
        <rFont val="Arial"/>
        <family val="2"/>
      </rPr>
      <t xml:space="preserve"> = </t>
    </r>
  </si>
  <si>
    <t>Minimum Input Capacitor Voltage Rating</t>
  </si>
  <si>
    <r>
      <t>V</t>
    </r>
    <r>
      <rPr>
        <vertAlign val="subscript"/>
        <sz val="11"/>
        <color theme="1"/>
        <rFont val="Arial"/>
        <family val="2"/>
      </rPr>
      <t>Cin</t>
    </r>
    <r>
      <rPr>
        <sz val="11"/>
        <color theme="1"/>
        <rFont val="Arial"/>
        <family val="2"/>
      </rPr>
      <t xml:space="preserve"> =</t>
    </r>
  </si>
  <si>
    <t>Primary to Secondary Turns Ratio Used in Calculations</t>
  </si>
  <si>
    <r>
      <t>N</t>
    </r>
    <r>
      <rPr>
        <vertAlign val="subscript"/>
        <sz val="11"/>
        <color theme="1"/>
        <rFont val="Arial"/>
        <family val="2"/>
      </rPr>
      <t>PS</t>
    </r>
    <r>
      <rPr>
        <sz val="11"/>
        <color theme="1"/>
        <rFont val="Arial"/>
        <family val="2"/>
      </rPr>
      <t xml:space="preserve"> =</t>
    </r>
  </si>
  <si>
    <t>Demagnetizing Duty Cycle</t>
  </si>
  <si>
    <r>
      <t>D</t>
    </r>
    <r>
      <rPr>
        <vertAlign val="subscript"/>
        <sz val="11"/>
        <color theme="1"/>
        <rFont val="Arial"/>
        <family val="2"/>
      </rPr>
      <t>DEMAG_CC</t>
    </r>
    <r>
      <rPr>
        <sz val="11"/>
        <color theme="1"/>
        <rFont val="Arial"/>
        <family val="2"/>
      </rPr>
      <t xml:space="preserve"> =</t>
    </r>
  </si>
  <si>
    <t>Amplitude Modulation Control Ratio</t>
  </si>
  <si>
    <r>
      <t>K</t>
    </r>
    <r>
      <rPr>
        <vertAlign val="subscript"/>
        <sz val="11"/>
        <color theme="1"/>
        <rFont val="Arial"/>
        <family val="2"/>
      </rPr>
      <t>AMnom</t>
    </r>
    <r>
      <rPr>
        <sz val="11"/>
        <color theme="1"/>
        <rFont val="Arial"/>
        <family val="2"/>
      </rPr>
      <t xml:space="preserve"> =</t>
    </r>
  </si>
  <si>
    <t>Maximum Desired Switching Frequency</t>
  </si>
  <si>
    <r>
      <t>f</t>
    </r>
    <r>
      <rPr>
        <vertAlign val="subscript"/>
        <sz val="11"/>
        <color theme="1"/>
        <rFont val="Arial"/>
        <family val="2"/>
      </rPr>
      <t>max_target</t>
    </r>
    <r>
      <rPr>
        <sz val="11"/>
        <color theme="1"/>
        <rFont val="Arial"/>
        <family val="2"/>
      </rPr>
      <t xml:space="preserve"> =</t>
    </r>
  </si>
  <si>
    <t>Desired Switching Period</t>
  </si>
  <si>
    <r>
      <t>t</t>
    </r>
    <r>
      <rPr>
        <vertAlign val="subscript"/>
        <sz val="11"/>
        <color theme="1"/>
        <rFont val="Arial"/>
        <family val="2"/>
      </rPr>
      <t>SW_target</t>
    </r>
    <r>
      <rPr>
        <sz val="11"/>
        <color theme="1"/>
        <rFont val="Arial"/>
        <family val="2"/>
      </rPr>
      <t xml:space="preserve"> =</t>
    </r>
  </si>
  <si>
    <t>Resonant Frequency During DCM Dead Time</t>
  </si>
  <si>
    <r>
      <t>f</t>
    </r>
    <r>
      <rPr>
        <vertAlign val="subscript"/>
        <sz val="11"/>
        <color theme="1"/>
        <rFont val="Arial"/>
        <family val="2"/>
      </rPr>
      <t>RES</t>
    </r>
    <r>
      <rPr>
        <sz val="11"/>
        <color theme="1"/>
        <rFont val="Arial"/>
        <family val="2"/>
      </rPr>
      <t xml:space="preserve"> =</t>
    </r>
  </si>
  <si>
    <t>Time to First Resonant Valley</t>
  </si>
  <si>
    <r>
      <t>t</t>
    </r>
    <r>
      <rPr>
        <vertAlign val="subscript"/>
        <sz val="11"/>
        <color theme="1"/>
        <rFont val="Arial"/>
        <family val="2"/>
      </rPr>
      <t>RES</t>
    </r>
    <r>
      <rPr>
        <sz val="11"/>
        <color theme="1"/>
        <rFont val="Arial"/>
        <family val="2"/>
      </rPr>
      <t xml:space="preserve"> =</t>
    </r>
  </si>
  <si>
    <t>Estimated Maximum Duty Cycle</t>
  </si>
  <si>
    <r>
      <t>D</t>
    </r>
    <r>
      <rPr>
        <vertAlign val="subscript"/>
        <sz val="11"/>
        <color theme="1"/>
        <rFont val="Arial"/>
        <family val="2"/>
      </rPr>
      <t>max_target</t>
    </r>
    <r>
      <rPr>
        <sz val="11"/>
        <color theme="1"/>
        <rFont val="Arial"/>
        <family val="2"/>
      </rPr>
      <t xml:space="preserve"> = </t>
    </r>
  </si>
  <si>
    <r>
      <rPr>
        <b/>
        <sz val="11"/>
        <color theme="1"/>
        <rFont val="Arial"/>
        <family val="2"/>
      </rPr>
      <t>Actual</t>
    </r>
    <r>
      <rPr>
        <sz val="11"/>
        <color theme="1"/>
        <rFont val="Arial"/>
        <family val="2"/>
      </rPr>
      <t xml:space="preserve"> Primary to Secondary Turns Ratio</t>
    </r>
  </si>
  <si>
    <t>Drain to Source On-Resistance of Selected MOSFET</t>
  </si>
  <si>
    <t>Output Capacitance of Selected MOSFET</t>
  </si>
  <si>
    <t>MOSFET Rated Drain to Source Voltage</t>
  </si>
  <si>
    <t xml:space="preserve">Peak Primary Current During Light Load, FM Mode </t>
  </si>
  <si>
    <r>
      <t>N</t>
    </r>
    <r>
      <rPr>
        <vertAlign val="subscript"/>
        <sz val="11"/>
        <color theme="1"/>
        <rFont val="Arial"/>
        <family val="2"/>
      </rPr>
      <t>PSactual</t>
    </r>
    <r>
      <rPr>
        <sz val="11"/>
        <color theme="1"/>
        <rFont val="Arial"/>
        <family val="2"/>
      </rPr>
      <t xml:space="preserve"> =</t>
    </r>
  </si>
  <si>
    <t>Actual Flyback Voltage</t>
  </si>
  <si>
    <r>
      <t>V</t>
    </r>
    <r>
      <rPr>
        <vertAlign val="subscript"/>
        <sz val="11"/>
        <color theme="1"/>
        <rFont val="Arial"/>
        <family val="2"/>
      </rPr>
      <t>FLYBACK</t>
    </r>
    <r>
      <rPr>
        <sz val="11"/>
        <color theme="1"/>
        <rFont val="Arial"/>
        <family val="2"/>
      </rPr>
      <t xml:space="preserve"> =</t>
    </r>
  </si>
  <si>
    <t>Allowable Leakage Inductance Voltage Spike</t>
  </si>
  <si>
    <r>
      <t>V</t>
    </r>
    <r>
      <rPr>
        <vertAlign val="subscript"/>
        <sz val="11"/>
        <color theme="1"/>
        <rFont val="Arial"/>
        <family val="2"/>
      </rPr>
      <t>LEAKAGE</t>
    </r>
    <r>
      <rPr>
        <sz val="11"/>
        <color theme="1"/>
        <rFont val="Arial"/>
        <family val="2"/>
      </rPr>
      <t xml:space="preserve"> =</t>
    </r>
  </si>
  <si>
    <t>Estimated Maximum On-Time</t>
  </si>
  <si>
    <r>
      <t>t</t>
    </r>
    <r>
      <rPr>
        <vertAlign val="subscript"/>
        <sz val="11"/>
        <color theme="1"/>
        <rFont val="Arial"/>
        <family val="2"/>
      </rPr>
      <t>ONestimated</t>
    </r>
    <r>
      <rPr>
        <sz val="11"/>
        <color theme="1"/>
        <rFont val="Arial"/>
        <family val="2"/>
      </rPr>
      <t xml:space="preserve"> =</t>
    </r>
  </si>
  <si>
    <r>
      <t>η</t>
    </r>
    <r>
      <rPr>
        <vertAlign val="subscript"/>
        <sz val="11"/>
        <color theme="1"/>
        <rFont val="Arial"/>
        <family val="2"/>
      </rPr>
      <t>XFMR</t>
    </r>
    <r>
      <rPr>
        <sz val="11"/>
        <color theme="1"/>
        <rFont val="Arial"/>
        <family val="2"/>
      </rPr>
      <t xml:space="preserve"> =</t>
    </r>
  </si>
  <si>
    <r>
      <t>I</t>
    </r>
    <r>
      <rPr>
        <vertAlign val="subscript"/>
        <sz val="11"/>
        <color theme="1"/>
        <rFont val="Arial"/>
        <family val="2"/>
      </rPr>
      <t>PP_FM</t>
    </r>
    <r>
      <rPr>
        <sz val="11"/>
        <color theme="1"/>
        <rFont val="Arial"/>
        <family val="2"/>
      </rPr>
      <t xml:space="preserve"> =</t>
    </r>
  </si>
  <si>
    <t>Worst Case Peak Primary Current</t>
  </si>
  <si>
    <r>
      <t>I</t>
    </r>
    <r>
      <rPr>
        <vertAlign val="subscript"/>
        <sz val="11"/>
        <color theme="1"/>
        <rFont val="Arial"/>
        <family val="2"/>
      </rPr>
      <t>PP_WC</t>
    </r>
    <r>
      <rPr>
        <sz val="11"/>
        <color theme="1"/>
        <rFont val="Arial"/>
        <family val="2"/>
      </rPr>
      <t xml:space="preserve"> =</t>
    </r>
  </si>
  <si>
    <t>Maximum Current Sense Threshold Voltage, Nominal</t>
  </si>
  <si>
    <r>
      <t>V</t>
    </r>
    <r>
      <rPr>
        <vertAlign val="subscript"/>
        <sz val="11"/>
        <color theme="1"/>
        <rFont val="Arial"/>
        <family val="2"/>
      </rPr>
      <t>CSTmax_nom</t>
    </r>
    <r>
      <rPr>
        <sz val="11"/>
        <color theme="1"/>
        <rFont val="Arial"/>
        <family val="2"/>
      </rPr>
      <t xml:space="preserve"> =</t>
    </r>
  </si>
  <si>
    <t>Maximum Current Sense Threshold Voltage, Maximum</t>
  </si>
  <si>
    <r>
      <t>V</t>
    </r>
    <r>
      <rPr>
        <vertAlign val="subscript"/>
        <sz val="11"/>
        <color theme="1"/>
        <rFont val="Arial"/>
        <family val="2"/>
      </rPr>
      <t>CSTmax_max</t>
    </r>
    <r>
      <rPr>
        <sz val="11"/>
        <color theme="1"/>
        <rFont val="Arial"/>
        <family val="2"/>
      </rPr>
      <t xml:space="preserve"> =</t>
    </r>
  </si>
  <si>
    <r>
      <t>L</t>
    </r>
    <r>
      <rPr>
        <vertAlign val="subscript"/>
        <sz val="11"/>
        <color theme="1"/>
        <rFont val="Arial"/>
        <family val="2"/>
      </rPr>
      <t>Precommended</t>
    </r>
    <r>
      <rPr>
        <sz val="11"/>
        <color theme="1"/>
        <rFont val="Arial"/>
        <family val="2"/>
      </rPr>
      <t xml:space="preserve"> =</t>
    </r>
  </si>
  <si>
    <r>
      <rPr>
        <b/>
        <sz val="11"/>
        <color theme="1"/>
        <rFont val="Arial"/>
        <family val="2"/>
      </rPr>
      <t>Actual</t>
    </r>
    <r>
      <rPr>
        <sz val="11"/>
        <color theme="1"/>
        <rFont val="Arial"/>
        <family val="2"/>
      </rPr>
      <t xml:space="preserve"> Primary Inductance</t>
    </r>
  </si>
  <si>
    <r>
      <t>L</t>
    </r>
    <r>
      <rPr>
        <vertAlign val="subscript"/>
        <sz val="11"/>
        <color theme="1"/>
        <rFont val="Arial"/>
        <family val="2"/>
      </rPr>
      <t>Pactual</t>
    </r>
    <r>
      <rPr>
        <sz val="11"/>
        <color theme="1"/>
        <rFont val="Arial"/>
        <family val="2"/>
      </rPr>
      <t xml:space="preserve"> =</t>
    </r>
  </si>
  <si>
    <t>Primary Inductance Used in Calculations</t>
  </si>
  <si>
    <r>
      <t>L</t>
    </r>
    <r>
      <rPr>
        <vertAlign val="subscript"/>
        <sz val="11"/>
        <color theme="1"/>
        <rFont val="Arial"/>
        <family val="2"/>
      </rPr>
      <t>P</t>
    </r>
    <r>
      <rPr>
        <sz val="11"/>
        <color theme="1"/>
        <rFont val="Arial"/>
        <family val="2"/>
      </rPr>
      <t xml:space="preserve"> =</t>
    </r>
  </si>
  <si>
    <t>Actual Maximum Nominal Switching Frequency</t>
  </si>
  <si>
    <t>Actual Switching Period</t>
  </si>
  <si>
    <r>
      <t>t</t>
    </r>
    <r>
      <rPr>
        <vertAlign val="subscript"/>
        <sz val="11"/>
        <color theme="1"/>
        <rFont val="Arial"/>
        <family val="2"/>
      </rPr>
      <t>SWactual</t>
    </r>
    <r>
      <rPr>
        <sz val="11"/>
        <color theme="1"/>
        <rFont val="Arial"/>
        <family val="2"/>
      </rPr>
      <t xml:space="preserve"> =</t>
    </r>
  </si>
  <si>
    <t>Actual Maximum On-Time</t>
  </si>
  <si>
    <r>
      <t>t</t>
    </r>
    <r>
      <rPr>
        <vertAlign val="subscript"/>
        <sz val="11"/>
        <color theme="1"/>
        <rFont val="Arial"/>
        <family val="2"/>
      </rPr>
      <t>ONmax</t>
    </r>
    <r>
      <rPr>
        <sz val="11"/>
        <color theme="1"/>
        <rFont val="Arial"/>
        <family val="2"/>
      </rPr>
      <t xml:space="preserve"> =</t>
    </r>
  </si>
  <si>
    <t>Primary RMS Current</t>
  </si>
  <si>
    <r>
      <rPr>
        <b/>
        <sz val="11"/>
        <color theme="1"/>
        <rFont val="Arial"/>
        <family val="2"/>
      </rPr>
      <t>Recommended</t>
    </r>
    <r>
      <rPr>
        <sz val="11"/>
        <color theme="1"/>
        <rFont val="Arial"/>
        <family val="2"/>
      </rPr>
      <t xml:space="preserve"> Current Sense Resistor Value</t>
    </r>
  </si>
  <si>
    <r>
      <t>R</t>
    </r>
    <r>
      <rPr>
        <vertAlign val="subscript"/>
        <sz val="11"/>
        <color theme="1"/>
        <rFont val="Arial"/>
        <family val="2"/>
      </rPr>
      <t>CSrecommended</t>
    </r>
    <r>
      <rPr>
        <sz val="11"/>
        <color theme="1"/>
        <rFont val="Arial"/>
        <family val="2"/>
      </rPr>
      <t xml:space="preserve"> =</t>
    </r>
  </si>
  <si>
    <r>
      <rPr>
        <b/>
        <sz val="11"/>
        <color theme="1"/>
        <rFont val="Arial"/>
        <family val="2"/>
      </rPr>
      <t>Actual</t>
    </r>
    <r>
      <rPr>
        <sz val="11"/>
        <color theme="1"/>
        <rFont val="Arial"/>
        <family val="2"/>
      </rPr>
      <t xml:space="preserve"> Current Sense Resistor Used</t>
    </r>
  </si>
  <si>
    <r>
      <t>R</t>
    </r>
    <r>
      <rPr>
        <vertAlign val="subscript"/>
        <sz val="11"/>
        <color theme="1"/>
        <rFont val="Arial"/>
        <family val="2"/>
      </rPr>
      <t>CSactual</t>
    </r>
    <r>
      <rPr>
        <sz val="11"/>
        <color theme="1"/>
        <rFont val="Arial"/>
        <family val="2"/>
      </rPr>
      <t xml:space="preserve"> =</t>
    </r>
  </si>
  <si>
    <t>Current Sense Resistor Value Used in Calculation</t>
  </si>
  <si>
    <r>
      <t>Power Dissipation of R</t>
    </r>
    <r>
      <rPr>
        <vertAlign val="subscript"/>
        <sz val="11"/>
        <color theme="1"/>
        <rFont val="Arial"/>
        <family val="2"/>
      </rPr>
      <t>CS</t>
    </r>
  </si>
  <si>
    <r>
      <t>P</t>
    </r>
    <r>
      <rPr>
        <vertAlign val="subscript"/>
        <sz val="11"/>
        <color theme="1"/>
        <rFont val="Arial"/>
        <family val="2"/>
      </rPr>
      <t>Rcs</t>
    </r>
    <r>
      <rPr>
        <sz val="11"/>
        <color theme="1"/>
        <rFont val="Arial"/>
        <family val="2"/>
      </rPr>
      <t xml:space="preserve"> =</t>
    </r>
  </si>
  <si>
    <t>Secondary Peak Current</t>
  </si>
  <si>
    <r>
      <t>I</t>
    </r>
    <r>
      <rPr>
        <vertAlign val="subscript"/>
        <sz val="11"/>
        <color theme="1"/>
        <rFont val="Arial"/>
        <family val="2"/>
      </rPr>
      <t>SPmax</t>
    </r>
    <r>
      <rPr>
        <sz val="11"/>
        <color theme="1"/>
        <rFont val="Arial"/>
        <family val="2"/>
      </rPr>
      <t xml:space="preserve"> =</t>
    </r>
  </si>
  <si>
    <t>Secondary RMS Current</t>
  </si>
  <si>
    <r>
      <t>I</t>
    </r>
    <r>
      <rPr>
        <vertAlign val="subscript"/>
        <sz val="11"/>
        <color theme="1"/>
        <rFont val="Arial"/>
        <family val="2"/>
      </rPr>
      <t>SEC_RMS</t>
    </r>
    <r>
      <rPr>
        <sz val="11"/>
        <color theme="1"/>
        <rFont val="Arial"/>
        <family val="2"/>
      </rPr>
      <t xml:space="preserve"> =</t>
    </r>
  </si>
  <si>
    <t>Maximum Duty Cycle</t>
  </si>
  <si>
    <r>
      <t>D</t>
    </r>
    <r>
      <rPr>
        <vertAlign val="subscript"/>
        <sz val="11"/>
        <color theme="1"/>
        <rFont val="Arial"/>
        <family val="2"/>
      </rPr>
      <t>MAX</t>
    </r>
    <r>
      <rPr>
        <sz val="11"/>
        <color theme="1"/>
        <rFont val="Arial"/>
        <family val="2"/>
      </rPr>
      <t xml:space="preserve"> =</t>
    </r>
  </si>
  <si>
    <t>Demagnetization Time</t>
  </si>
  <si>
    <r>
      <t>t</t>
    </r>
    <r>
      <rPr>
        <vertAlign val="subscript"/>
        <sz val="11"/>
        <color theme="1"/>
        <rFont val="Arial"/>
        <family val="2"/>
      </rPr>
      <t>DEMAG</t>
    </r>
    <r>
      <rPr>
        <sz val="11"/>
        <color theme="1"/>
        <rFont val="Arial"/>
        <family val="2"/>
      </rPr>
      <t xml:space="preserve"> =</t>
    </r>
  </si>
  <si>
    <r>
      <t>Output Over Voltage Protection, V</t>
    </r>
    <r>
      <rPr>
        <vertAlign val="subscript"/>
        <sz val="11"/>
        <color theme="1"/>
        <rFont val="Arial"/>
        <family val="2"/>
      </rPr>
      <t>OUT_OVP</t>
    </r>
    <r>
      <rPr>
        <sz val="11"/>
        <color theme="1"/>
        <rFont val="Arial"/>
        <family val="2"/>
      </rPr>
      <t xml:space="preserve"> =</t>
    </r>
  </si>
  <si>
    <r>
      <t>f</t>
    </r>
    <r>
      <rPr>
        <vertAlign val="subscript"/>
        <sz val="11"/>
        <color theme="1"/>
        <rFont val="Arial"/>
        <family val="2"/>
      </rPr>
      <t>SWmax</t>
    </r>
  </si>
  <si>
    <r>
      <t>f</t>
    </r>
    <r>
      <rPr>
        <vertAlign val="subscript"/>
        <sz val="11"/>
        <color theme="1"/>
        <rFont val="Arial"/>
        <family val="2"/>
      </rPr>
      <t>SWmin</t>
    </r>
  </si>
  <si>
    <t>INPUT FUSE</t>
  </si>
  <si>
    <t>Peak Input Current</t>
  </si>
  <si>
    <r>
      <t>I</t>
    </r>
    <r>
      <rPr>
        <vertAlign val="subscript"/>
        <sz val="11"/>
        <color theme="1"/>
        <rFont val="Arial"/>
        <family val="2"/>
      </rPr>
      <t>INpeak</t>
    </r>
    <r>
      <rPr>
        <sz val="11"/>
        <color theme="1"/>
        <rFont val="Arial"/>
        <family val="2"/>
      </rPr>
      <t xml:space="preserve"> =</t>
    </r>
  </si>
  <si>
    <r>
      <t>Ideal L</t>
    </r>
    <r>
      <rPr>
        <vertAlign val="subscript"/>
        <sz val="11"/>
        <color theme="1"/>
        <rFont val="Arial"/>
        <family val="2"/>
      </rPr>
      <t>P</t>
    </r>
  </si>
  <si>
    <r>
      <t>Ideal N</t>
    </r>
    <r>
      <rPr>
        <vertAlign val="subscript"/>
        <sz val="11"/>
        <color theme="1"/>
        <rFont val="Arial"/>
        <family val="2"/>
      </rPr>
      <t>PS</t>
    </r>
  </si>
  <si>
    <t>Maximum Current Sense Threshold Voltage, Minimum</t>
  </si>
  <si>
    <r>
      <t>V</t>
    </r>
    <r>
      <rPr>
        <vertAlign val="subscript"/>
        <sz val="11"/>
        <color theme="1"/>
        <rFont val="Arial"/>
        <family val="2"/>
      </rPr>
      <t>CSTmax_min</t>
    </r>
    <r>
      <rPr>
        <sz val="11"/>
        <color theme="1"/>
        <rFont val="Arial"/>
        <family val="2"/>
      </rPr>
      <t xml:space="preserve"> =</t>
    </r>
  </si>
  <si>
    <t>Peak Primary Current, Nominal, Full Load</t>
  </si>
  <si>
    <r>
      <t>V</t>
    </r>
    <r>
      <rPr>
        <vertAlign val="subscript"/>
        <sz val="11"/>
        <color theme="1"/>
        <rFont val="Arial"/>
        <family val="2"/>
      </rPr>
      <t>DS</t>
    </r>
    <r>
      <rPr>
        <sz val="11"/>
        <color theme="1"/>
        <rFont val="Arial"/>
        <family val="2"/>
      </rPr>
      <t xml:space="preserve"> =</t>
    </r>
  </si>
  <si>
    <r>
      <t>V</t>
    </r>
    <r>
      <rPr>
        <vertAlign val="subscript"/>
        <sz val="11"/>
        <color theme="1"/>
        <rFont val="Arial"/>
        <family val="2"/>
      </rPr>
      <t>DSderated</t>
    </r>
    <r>
      <rPr>
        <sz val="11"/>
        <color theme="1"/>
        <rFont val="Arial"/>
        <family val="2"/>
      </rPr>
      <t xml:space="preserve"> =</t>
    </r>
  </si>
  <si>
    <r>
      <t>C</t>
    </r>
    <r>
      <rPr>
        <vertAlign val="subscript"/>
        <sz val="11"/>
        <color theme="1"/>
        <rFont val="Arial"/>
        <family val="2"/>
      </rPr>
      <t>OSS</t>
    </r>
    <r>
      <rPr>
        <sz val="11"/>
        <color theme="1"/>
        <rFont val="Arial"/>
        <family val="2"/>
      </rPr>
      <t xml:space="preserve"> =</t>
    </r>
  </si>
  <si>
    <r>
      <t>R</t>
    </r>
    <r>
      <rPr>
        <vertAlign val="subscript"/>
        <sz val="11"/>
        <color theme="1"/>
        <rFont val="Arial"/>
        <family val="2"/>
      </rPr>
      <t>DSon</t>
    </r>
    <r>
      <rPr>
        <sz val="11"/>
        <color theme="1"/>
        <rFont val="Arial"/>
        <family val="2"/>
      </rPr>
      <t xml:space="preserve"> =</t>
    </r>
  </si>
  <si>
    <t>Constant Current Regulation Factor, Minimum</t>
  </si>
  <si>
    <t>Constant Current Regulation Factor, Nominal</t>
  </si>
  <si>
    <r>
      <t>V</t>
    </r>
    <r>
      <rPr>
        <vertAlign val="subscript"/>
        <sz val="11"/>
        <rFont val="Arial"/>
        <family val="2"/>
      </rPr>
      <t>CCR_min</t>
    </r>
    <r>
      <rPr>
        <sz val="11"/>
        <rFont val="Arial"/>
        <family val="2"/>
      </rPr>
      <t xml:space="preserve"> =</t>
    </r>
  </si>
  <si>
    <r>
      <t>V</t>
    </r>
    <r>
      <rPr>
        <vertAlign val="subscript"/>
        <sz val="11"/>
        <rFont val="Arial"/>
        <family val="2"/>
      </rPr>
      <t>CCR_nom</t>
    </r>
    <r>
      <rPr>
        <sz val="11"/>
        <rFont val="Arial"/>
        <family val="2"/>
      </rPr>
      <t xml:space="preserve"> =</t>
    </r>
  </si>
  <si>
    <r>
      <t>P</t>
    </r>
    <r>
      <rPr>
        <vertAlign val="subscript"/>
        <sz val="11"/>
        <color theme="1"/>
        <rFont val="Arial"/>
        <family val="2"/>
      </rPr>
      <t>FETconduction</t>
    </r>
    <r>
      <rPr>
        <sz val="11"/>
        <color theme="1"/>
        <rFont val="Arial"/>
        <family val="2"/>
      </rPr>
      <t xml:space="preserve"> =</t>
    </r>
  </si>
  <si>
    <t>Estimated MOSFET Conduction Losses</t>
  </si>
  <si>
    <t>Estimated MOSFET Switching Losses</t>
  </si>
  <si>
    <r>
      <t>P</t>
    </r>
    <r>
      <rPr>
        <vertAlign val="subscript"/>
        <sz val="11"/>
        <color theme="1"/>
        <rFont val="Arial"/>
        <family val="2"/>
      </rPr>
      <t>FETswitching</t>
    </r>
    <r>
      <rPr>
        <sz val="11"/>
        <color theme="1"/>
        <rFont val="Arial"/>
        <family val="2"/>
      </rPr>
      <t xml:space="preserve"> =</t>
    </r>
  </si>
  <si>
    <t>MOSFET Fall Time</t>
  </si>
  <si>
    <r>
      <t>MOSFET Fall Time, t</t>
    </r>
    <r>
      <rPr>
        <vertAlign val="subscript"/>
        <sz val="11"/>
        <color theme="1"/>
        <rFont val="Arial"/>
        <family val="2"/>
      </rPr>
      <t>f</t>
    </r>
    <r>
      <rPr>
        <sz val="11"/>
        <color theme="1"/>
        <rFont val="Arial"/>
        <family val="2"/>
      </rPr>
      <t xml:space="preserve"> =</t>
    </r>
  </si>
  <si>
    <r>
      <t>t</t>
    </r>
    <r>
      <rPr>
        <vertAlign val="subscript"/>
        <sz val="11"/>
        <color theme="1"/>
        <rFont val="Arial"/>
        <family val="2"/>
      </rPr>
      <t>f</t>
    </r>
    <r>
      <rPr>
        <sz val="11"/>
        <color theme="1"/>
        <rFont val="Arial"/>
        <family val="2"/>
      </rPr>
      <t xml:space="preserve"> =</t>
    </r>
  </si>
  <si>
    <t>pF factor</t>
  </si>
  <si>
    <t xml:space="preserve">Total Estimated MOSFET Power Loss </t>
  </si>
  <si>
    <r>
      <t>P</t>
    </r>
    <r>
      <rPr>
        <vertAlign val="subscript"/>
        <sz val="11"/>
        <color theme="1"/>
        <rFont val="Arial"/>
        <family val="2"/>
      </rPr>
      <t>FET</t>
    </r>
    <r>
      <rPr>
        <sz val="11"/>
        <color theme="1"/>
        <rFont val="Arial"/>
        <family val="2"/>
      </rPr>
      <t xml:space="preserve"> =</t>
    </r>
  </si>
  <si>
    <r>
      <t>Recommended R</t>
    </r>
    <r>
      <rPr>
        <vertAlign val="subscript"/>
        <sz val="11"/>
        <color theme="1"/>
        <rFont val="Arial"/>
        <family val="2"/>
      </rPr>
      <t>CS</t>
    </r>
  </si>
  <si>
    <r>
      <t xml:space="preserve"> DCR</t>
    </r>
    <r>
      <rPr>
        <vertAlign val="subscript"/>
        <sz val="11"/>
        <color theme="1"/>
        <rFont val="Arial"/>
        <family val="2"/>
      </rPr>
      <t>Lout</t>
    </r>
    <r>
      <rPr>
        <sz val="11"/>
        <color theme="1"/>
        <rFont val="Arial"/>
        <family val="2"/>
      </rPr>
      <t xml:space="preserve"> =</t>
    </r>
  </si>
  <si>
    <t>DCR of Output Inductor</t>
  </si>
  <si>
    <r>
      <t>V</t>
    </r>
    <r>
      <rPr>
        <vertAlign val="subscript"/>
        <sz val="11"/>
        <color theme="1"/>
        <rFont val="Arial"/>
        <family val="2"/>
      </rPr>
      <t>F</t>
    </r>
    <r>
      <rPr>
        <sz val="11"/>
        <color theme="1"/>
        <rFont val="Arial"/>
        <family val="2"/>
      </rPr>
      <t xml:space="preserve"> =</t>
    </r>
  </si>
  <si>
    <t>BRIDGE RECTIFIER</t>
  </si>
  <si>
    <t>Voltage Rating</t>
  </si>
  <si>
    <r>
      <t>V</t>
    </r>
    <r>
      <rPr>
        <vertAlign val="subscript"/>
        <sz val="11"/>
        <color theme="1"/>
        <rFont val="Arial"/>
        <family val="2"/>
      </rPr>
      <t>BRIDGE_minrating</t>
    </r>
    <r>
      <rPr>
        <sz val="11"/>
        <color theme="1"/>
        <rFont val="Arial"/>
        <family val="2"/>
      </rPr>
      <t xml:space="preserve"> =</t>
    </r>
  </si>
  <si>
    <t>Current Rating</t>
  </si>
  <si>
    <r>
      <t>I</t>
    </r>
    <r>
      <rPr>
        <vertAlign val="subscript"/>
        <sz val="11"/>
        <color theme="1"/>
        <rFont val="Arial"/>
        <family val="2"/>
      </rPr>
      <t>BRIDGE_minrating</t>
    </r>
    <r>
      <rPr>
        <sz val="11"/>
        <color theme="1"/>
        <rFont val="Arial"/>
        <family val="2"/>
      </rPr>
      <t xml:space="preserve"> =</t>
    </r>
  </si>
  <si>
    <r>
      <t>P</t>
    </r>
    <r>
      <rPr>
        <vertAlign val="subscript"/>
        <sz val="11"/>
        <color theme="1"/>
        <rFont val="Arial"/>
        <family val="2"/>
      </rPr>
      <t>BRIDGE</t>
    </r>
    <r>
      <rPr>
        <sz val="11"/>
        <color theme="1"/>
        <rFont val="Arial"/>
        <family val="2"/>
      </rPr>
      <t xml:space="preserve"> = </t>
    </r>
  </si>
  <si>
    <t>Forward Voltage Drop</t>
  </si>
  <si>
    <r>
      <rPr>
        <b/>
        <sz val="11"/>
        <color theme="1"/>
        <rFont val="Arial"/>
        <family val="2"/>
      </rPr>
      <t xml:space="preserve">Recommended </t>
    </r>
    <r>
      <rPr>
        <sz val="11"/>
        <color theme="1"/>
        <rFont val="Arial"/>
        <family val="2"/>
      </rPr>
      <t>Current Sense Resistor, R</t>
    </r>
    <r>
      <rPr>
        <vertAlign val="subscript"/>
        <sz val="11"/>
        <color theme="1"/>
        <rFont val="Arial"/>
        <family val="2"/>
      </rPr>
      <t>CS</t>
    </r>
    <r>
      <rPr>
        <sz val="11"/>
        <color theme="1"/>
        <rFont val="Arial"/>
        <family val="2"/>
      </rPr>
      <t xml:space="preserve"> =</t>
    </r>
  </si>
  <si>
    <r>
      <rPr>
        <b/>
        <sz val="11"/>
        <color theme="1"/>
        <rFont val="Arial"/>
        <family val="2"/>
      </rPr>
      <t>Actual</t>
    </r>
    <r>
      <rPr>
        <sz val="11"/>
        <color theme="1"/>
        <rFont val="Arial"/>
        <family val="2"/>
      </rPr>
      <t xml:space="preserve"> Current Sense Resistor Used, R</t>
    </r>
    <r>
      <rPr>
        <vertAlign val="subscript"/>
        <sz val="11"/>
        <color theme="1"/>
        <rFont val="Arial"/>
        <family val="2"/>
      </rPr>
      <t>CS</t>
    </r>
    <r>
      <rPr>
        <sz val="11"/>
        <color theme="1"/>
        <rFont val="Arial"/>
        <family val="2"/>
      </rPr>
      <t xml:space="preserve"> =</t>
    </r>
  </si>
  <si>
    <r>
      <t>Forward Voltage Drop, V</t>
    </r>
    <r>
      <rPr>
        <vertAlign val="subscript"/>
        <sz val="11"/>
        <color theme="1"/>
        <rFont val="Arial"/>
        <family val="2"/>
      </rPr>
      <t>F_BRIDGE</t>
    </r>
    <r>
      <rPr>
        <sz val="11"/>
        <color theme="1"/>
        <rFont val="Arial"/>
        <family val="2"/>
      </rPr>
      <t xml:space="preserve"> =</t>
    </r>
  </si>
  <si>
    <r>
      <t>At I</t>
    </r>
    <r>
      <rPr>
        <vertAlign val="subscript"/>
        <sz val="11"/>
        <color theme="1"/>
        <rFont val="Arial"/>
        <family val="2"/>
      </rPr>
      <t>INPEAK</t>
    </r>
  </si>
  <si>
    <r>
      <t>Bridge Rectifier, D</t>
    </r>
    <r>
      <rPr>
        <b/>
        <vertAlign val="subscript"/>
        <sz val="11"/>
        <color theme="0"/>
        <rFont val="Arial"/>
        <family val="2"/>
      </rPr>
      <t>BRIDGE</t>
    </r>
  </si>
  <si>
    <r>
      <t>V</t>
    </r>
    <r>
      <rPr>
        <vertAlign val="subscript"/>
        <sz val="11"/>
        <color theme="1"/>
        <rFont val="Arial"/>
        <family val="2"/>
      </rPr>
      <t>F_BRIDGE</t>
    </r>
    <r>
      <rPr>
        <sz val="11"/>
        <color theme="1"/>
        <rFont val="Arial"/>
        <family val="2"/>
      </rPr>
      <t xml:space="preserve"> =</t>
    </r>
  </si>
  <si>
    <t>Full Load Power Dissipation of Bridge Rectifier</t>
  </si>
  <si>
    <t>MHz</t>
  </si>
  <si>
    <t>MHz factor</t>
  </si>
  <si>
    <r>
      <t>Assumes -1%R</t>
    </r>
    <r>
      <rPr>
        <vertAlign val="subscript"/>
        <sz val="11"/>
        <color theme="1"/>
        <rFont val="Arial"/>
        <family val="2"/>
      </rPr>
      <t>CS</t>
    </r>
    <r>
      <rPr>
        <sz val="11"/>
        <color theme="1"/>
        <rFont val="Arial"/>
        <family val="2"/>
      </rPr>
      <t xml:space="preserve"> and V</t>
    </r>
    <r>
      <rPr>
        <vertAlign val="subscript"/>
        <sz val="11"/>
        <color theme="1"/>
        <rFont val="Arial"/>
        <family val="2"/>
      </rPr>
      <t>CSTmax_max</t>
    </r>
  </si>
  <si>
    <t>Maximum Output Current During Constant Current Mode</t>
  </si>
  <si>
    <r>
      <t>I</t>
    </r>
    <r>
      <rPr>
        <vertAlign val="subscript"/>
        <sz val="11"/>
        <color theme="1"/>
        <rFont val="Arial"/>
        <family val="2"/>
      </rPr>
      <t>OCCmax</t>
    </r>
    <r>
      <rPr>
        <sz val="11"/>
        <color theme="1"/>
        <rFont val="Arial"/>
        <family val="2"/>
      </rPr>
      <t xml:space="preserve"> =</t>
    </r>
  </si>
  <si>
    <t>Recommended Clamping Voltage on Drain</t>
  </si>
  <si>
    <r>
      <t>V</t>
    </r>
    <r>
      <rPr>
        <vertAlign val="subscript"/>
        <sz val="11"/>
        <color theme="1"/>
        <rFont val="Arial"/>
        <family val="2"/>
      </rPr>
      <t>DRAINclamp</t>
    </r>
    <r>
      <rPr>
        <sz val="11"/>
        <color theme="1"/>
        <rFont val="Arial"/>
        <family val="2"/>
      </rPr>
      <t xml:space="preserve"> =</t>
    </r>
  </si>
  <si>
    <r>
      <t>N</t>
    </r>
    <r>
      <rPr>
        <vertAlign val="subscript"/>
        <sz val="11"/>
        <color theme="1"/>
        <rFont val="Arial"/>
        <family val="2"/>
      </rPr>
      <t>PArecommended</t>
    </r>
    <r>
      <rPr>
        <sz val="11"/>
        <color theme="1"/>
        <rFont val="Arial"/>
        <family val="2"/>
      </rPr>
      <t xml:space="preserve"> =</t>
    </r>
  </si>
  <si>
    <r>
      <t>Auxiliary Rectifier Forward Voltage Drop, V</t>
    </r>
    <r>
      <rPr>
        <vertAlign val="subscript"/>
        <sz val="11"/>
        <color theme="1"/>
        <rFont val="Arial"/>
        <family val="2"/>
      </rPr>
      <t>FA</t>
    </r>
    <r>
      <rPr>
        <sz val="11"/>
        <color theme="1"/>
        <rFont val="Arial"/>
        <family val="2"/>
      </rPr>
      <t xml:space="preserve"> =</t>
    </r>
  </si>
  <si>
    <r>
      <t>Auxiliary Winding Rectifier, D</t>
    </r>
    <r>
      <rPr>
        <b/>
        <vertAlign val="subscript"/>
        <sz val="11"/>
        <color theme="0"/>
        <rFont val="Arial"/>
        <family val="2"/>
      </rPr>
      <t>AUX</t>
    </r>
  </si>
  <si>
    <t>Auxiliary Rectifier Forward Voltage Drop</t>
  </si>
  <si>
    <r>
      <t xml:space="preserve"> V</t>
    </r>
    <r>
      <rPr>
        <vertAlign val="subscript"/>
        <sz val="11"/>
        <color theme="1"/>
        <rFont val="Arial"/>
        <family val="2"/>
      </rPr>
      <t>FA</t>
    </r>
    <r>
      <rPr>
        <sz val="11"/>
        <color theme="1"/>
        <rFont val="Arial"/>
        <family val="2"/>
      </rPr>
      <t xml:space="preserve"> =</t>
    </r>
  </si>
  <si>
    <r>
      <t>Suggested N</t>
    </r>
    <r>
      <rPr>
        <vertAlign val="subscript"/>
        <sz val="11"/>
        <color theme="1"/>
        <rFont val="Arial"/>
        <family val="2"/>
      </rPr>
      <t>PA</t>
    </r>
  </si>
  <si>
    <r>
      <rPr>
        <b/>
        <sz val="11"/>
        <color theme="1"/>
        <rFont val="Arial"/>
        <family val="2"/>
      </rPr>
      <t>Recommended</t>
    </r>
    <r>
      <rPr>
        <sz val="11"/>
        <color theme="1"/>
        <rFont val="Arial"/>
        <family val="2"/>
      </rPr>
      <t xml:space="preserve"> Primary to Auxillary Turns Ratio, N</t>
    </r>
    <r>
      <rPr>
        <vertAlign val="subscript"/>
        <sz val="11"/>
        <color theme="1"/>
        <rFont val="Arial"/>
        <family val="2"/>
      </rPr>
      <t>PA</t>
    </r>
    <r>
      <rPr>
        <sz val="11"/>
        <color theme="1"/>
        <rFont val="Arial"/>
        <family val="2"/>
      </rPr>
      <t xml:space="preserve"> =</t>
    </r>
  </si>
  <si>
    <r>
      <t>N</t>
    </r>
    <r>
      <rPr>
        <vertAlign val="subscript"/>
        <sz val="11"/>
        <color theme="1"/>
        <rFont val="Arial"/>
        <family val="2"/>
      </rPr>
      <t xml:space="preserve">PAactual </t>
    </r>
    <r>
      <rPr>
        <sz val="11"/>
        <color theme="1"/>
        <rFont val="Arial"/>
        <family val="2"/>
      </rPr>
      <t>=</t>
    </r>
  </si>
  <si>
    <r>
      <rPr>
        <b/>
        <sz val="11"/>
        <color theme="1"/>
        <rFont val="Arial"/>
        <family val="2"/>
      </rPr>
      <t xml:space="preserve">Recommended </t>
    </r>
    <r>
      <rPr>
        <sz val="11"/>
        <color theme="1"/>
        <rFont val="Arial"/>
        <family val="2"/>
      </rPr>
      <t>Primary to Auxilliary Turns Ratio</t>
    </r>
  </si>
  <si>
    <r>
      <rPr>
        <b/>
        <sz val="11"/>
        <color theme="1"/>
        <rFont val="Arial"/>
        <family val="2"/>
      </rPr>
      <t>Actual</t>
    </r>
    <r>
      <rPr>
        <sz val="11"/>
        <color theme="1"/>
        <rFont val="Arial"/>
        <family val="2"/>
      </rPr>
      <t xml:space="preserve"> Primary to Auxiliary Turns Ratio</t>
    </r>
  </si>
  <si>
    <r>
      <t>Enter Actual N</t>
    </r>
    <r>
      <rPr>
        <vertAlign val="subscript"/>
        <sz val="11"/>
        <color theme="1"/>
        <rFont val="Arial"/>
        <family val="2"/>
      </rPr>
      <t>PA</t>
    </r>
    <r>
      <rPr>
        <sz val="11"/>
        <color theme="1"/>
        <rFont val="Arial"/>
        <family val="2"/>
      </rPr>
      <t xml:space="preserve"> of Transformer Used</t>
    </r>
  </si>
  <si>
    <r>
      <rPr>
        <b/>
        <sz val="11"/>
        <color theme="1"/>
        <rFont val="Arial"/>
        <family val="2"/>
      </rPr>
      <t>Actual</t>
    </r>
    <r>
      <rPr>
        <sz val="11"/>
        <color theme="1"/>
        <rFont val="Arial"/>
        <family val="2"/>
      </rPr>
      <t xml:space="preserve"> Primary to Auxiliary Turns Ratio, N</t>
    </r>
    <r>
      <rPr>
        <vertAlign val="subscript"/>
        <sz val="11"/>
        <color theme="1"/>
        <rFont val="Arial"/>
        <family val="2"/>
      </rPr>
      <t>PA</t>
    </r>
    <r>
      <rPr>
        <sz val="11"/>
        <color theme="1"/>
        <rFont val="Arial"/>
        <family val="2"/>
      </rPr>
      <t xml:space="preserve"> =</t>
    </r>
  </si>
  <si>
    <t>Primary to Auxiliary Turns Ratio Used in Calculations</t>
  </si>
  <si>
    <r>
      <t>N</t>
    </r>
    <r>
      <rPr>
        <vertAlign val="subscript"/>
        <sz val="11"/>
        <color theme="1"/>
        <rFont val="Arial"/>
        <family val="2"/>
      </rPr>
      <t>PA</t>
    </r>
    <r>
      <rPr>
        <sz val="11"/>
        <color theme="1"/>
        <rFont val="Arial"/>
        <family val="2"/>
      </rPr>
      <t xml:space="preserve"> =</t>
    </r>
  </si>
  <si>
    <t>Nominal VDD Voltage</t>
  </si>
  <si>
    <t>VDD =</t>
  </si>
  <si>
    <t>Actual Output Current During Constant Current Mode</t>
  </si>
  <si>
    <t>Recommended Auxiliary to Secondary Turns Ratio</t>
  </si>
  <si>
    <r>
      <t>N</t>
    </r>
    <r>
      <rPr>
        <vertAlign val="subscript"/>
        <sz val="11"/>
        <color theme="1"/>
        <rFont val="Arial"/>
        <family val="2"/>
      </rPr>
      <t xml:space="preserve">ASrecommended </t>
    </r>
    <r>
      <rPr>
        <sz val="11"/>
        <color theme="1"/>
        <rFont val="Arial"/>
        <family val="2"/>
      </rPr>
      <t>=</t>
    </r>
  </si>
  <si>
    <t>Minimum Output Voltage During Constant Current Mode</t>
  </si>
  <si>
    <t>VDD Under Voltage Lock Out (UVLO) Voltage, Maximum</t>
  </si>
  <si>
    <r>
      <t>VDD</t>
    </r>
    <r>
      <rPr>
        <vertAlign val="subscript"/>
        <sz val="11"/>
        <color theme="1"/>
        <rFont val="Arial"/>
        <family val="2"/>
      </rPr>
      <t>OFF_max</t>
    </r>
    <r>
      <rPr>
        <sz val="11"/>
        <color theme="1"/>
        <rFont val="Arial"/>
        <family val="2"/>
      </rPr>
      <t xml:space="preserve"> =</t>
    </r>
  </si>
  <si>
    <t>VDD Under Voltage Lock Out (UVLO) Voltage, Minimum</t>
  </si>
  <si>
    <r>
      <t>VDD</t>
    </r>
    <r>
      <rPr>
        <vertAlign val="subscript"/>
        <sz val="11"/>
        <color theme="1"/>
        <rFont val="Arial"/>
        <family val="2"/>
      </rPr>
      <t>OFF_min</t>
    </r>
    <r>
      <rPr>
        <sz val="11"/>
        <color theme="1"/>
        <rFont val="Arial"/>
        <family val="2"/>
      </rPr>
      <t xml:space="preserve"> =</t>
    </r>
  </si>
  <si>
    <t>Actual Auxiliary to Secondary Turns Ratio</t>
  </si>
  <si>
    <r>
      <t>N</t>
    </r>
    <r>
      <rPr>
        <vertAlign val="subscript"/>
        <sz val="11"/>
        <color theme="1"/>
        <rFont val="Arial"/>
        <family val="2"/>
      </rPr>
      <t>AS</t>
    </r>
    <r>
      <rPr>
        <sz val="11"/>
        <color theme="1"/>
        <rFont val="Arial"/>
        <family val="2"/>
      </rPr>
      <t xml:space="preserve"> =</t>
    </r>
  </si>
  <si>
    <r>
      <t>V</t>
    </r>
    <r>
      <rPr>
        <vertAlign val="subscript"/>
        <sz val="11"/>
        <color theme="1"/>
        <rFont val="Arial"/>
        <family val="2"/>
      </rPr>
      <t>DBIAS_blocking</t>
    </r>
    <r>
      <rPr>
        <sz val="11"/>
        <color theme="1"/>
        <rFont val="Arial"/>
        <family val="2"/>
      </rPr>
      <t xml:space="preserve"> =</t>
    </r>
  </si>
  <si>
    <t>Minimum Required Blocking Voltage Rating</t>
  </si>
  <si>
    <r>
      <t>V</t>
    </r>
    <r>
      <rPr>
        <vertAlign val="subscript"/>
        <sz val="11"/>
        <color theme="1"/>
        <rFont val="Arial"/>
        <family val="2"/>
      </rPr>
      <t>DOUT_blocking</t>
    </r>
    <r>
      <rPr>
        <sz val="11"/>
        <color theme="1"/>
        <rFont val="Arial"/>
        <family val="2"/>
      </rPr>
      <t xml:space="preserve"> =</t>
    </r>
  </si>
  <si>
    <r>
      <t>V</t>
    </r>
    <r>
      <rPr>
        <vertAlign val="subscript"/>
        <sz val="11"/>
        <rFont val="Arial"/>
        <family val="2"/>
      </rPr>
      <t>FUSE</t>
    </r>
    <r>
      <rPr>
        <sz val="11"/>
        <rFont val="Arial"/>
        <family val="2"/>
      </rPr>
      <t xml:space="preserve"> =</t>
    </r>
  </si>
  <si>
    <r>
      <t>MOSFET V</t>
    </r>
    <r>
      <rPr>
        <vertAlign val="subscript"/>
        <sz val="11"/>
        <color theme="1"/>
        <rFont val="Arial"/>
        <family val="2"/>
      </rPr>
      <t>DS</t>
    </r>
    <r>
      <rPr>
        <sz val="11"/>
        <color theme="1"/>
        <rFont val="Arial"/>
        <family val="2"/>
      </rPr>
      <t xml:space="preserve"> Derating</t>
    </r>
  </si>
  <si>
    <t>MOSFET Continuous Current Rating</t>
  </si>
  <si>
    <r>
      <t>I</t>
    </r>
    <r>
      <rPr>
        <vertAlign val="subscript"/>
        <sz val="11"/>
        <color theme="1"/>
        <rFont val="Arial"/>
        <family val="2"/>
      </rPr>
      <t>DRAIN</t>
    </r>
    <r>
      <rPr>
        <sz val="11"/>
        <color theme="1"/>
        <rFont val="Arial"/>
        <family val="2"/>
      </rPr>
      <t xml:space="preserve"> =</t>
    </r>
  </si>
  <si>
    <t>MOSFET Pulsed Current Rating</t>
  </si>
  <si>
    <r>
      <t>I</t>
    </r>
    <r>
      <rPr>
        <vertAlign val="subscript"/>
        <sz val="11"/>
        <color theme="1"/>
        <rFont val="Arial"/>
        <family val="2"/>
      </rPr>
      <t>PULSED</t>
    </r>
    <r>
      <rPr>
        <sz val="11"/>
        <color theme="1"/>
        <rFont val="Arial"/>
        <family val="2"/>
      </rPr>
      <t xml:space="preserve"> =</t>
    </r>
  </si>
  <si>
    <t>Required Minimum Average Rectified Output Current</t>
  </si>
  <si>
    <r>
      <t>I</t>
    </r>
    <r>
      <rPr>
        <vertAlign val="subscript"/>
        <sz val="11"/>
        <color theme="1"/>
        <rFont val="Arial"/>
        <family val="2"/>
      </rPr>
      <t>Dout</t>
    </r>
    <r>
      <rPr>
        <sz val="11"/>
        <color theme="1"/>
        <rFont val="Arial"/>
        <family val="2"/>
      </rPr>
      <t xml:space="preserve"> =</t>
    </r>
  </si>
  <si>
    <r>
      <t>Power Dissipation of D</t>
    </r>
    <r>
      <rPr>
        <vertAlign val="subscript"/>
        <sz val="11"/>
        <color theme="1"/>
        <rFont val="Arial"/>
        <family val="2"/>
      </rPr>
      <t>OUT</t>
    </r>
  </si>
  <si>
    <r>
      <t>P</t>
    </r>
    <r>
      <rPr>
        <vertAlign val="subscript"/>
        <sz val="11"/>
        <color theme="1"/>
        <rFont val="Arial"/>
        <family val="2"/>
      </rPr>
      <t>Dout</t>
    </r>
    <r>
      <rPr>
        <sz val="11"/>
        <color theme="1"/>
        <rFont val="Arial"/>
        <family val="2"/>
      </rPr>
      <t xml:space="preserve"> =</t>
    </r>
  </si>
  <si>
    <r>
      <t>OUTPUT DIODE, D</t>
    </r>
    <r>
      <rPr>
        <b/>
        <i/>
        <vertAlign val="subscript"/>
        <sz val="12"/>
        <color theme="0"/>
        <rFont val="Arial"/>
        <family val="2"/>
      </rPr>
      <t>OUT</t>
    </r>
  </si>
  <si>
    <r>
      <t>AUXILIARY WINDING DIODE, D</t>
    </r>
    <r>
      <rPr>
        <b/>
        <i/>
        <vertAlign val="subscript"/>
        <sz val="12"/>
        <color theme="0"/>
        <rFont val="Arial"/>
        <family val="2"/>
      </rPr>
      <t>AUX</t>
    </r>
    <r>
      <rPr>
        <b/>
        <i/>
        <sz val="12"/>
        <color theme="0"/>
        <rFont val="Arial"/>
        <family val="2"/>
      </rPr>
      <t xml:space="preserve"> </t>
    </r>
  </si>
  <si>
    <r>
      <t>OUTPUT INDUCTOR, L</t>
    </r>
    <r>
      <rPr>
        <b/>
        <i/>
        <vertAlign val="subscript"/>
        <sz val="12"/>
        <color theme="0"/>
        <rFont val="Arial"/>
        <family val="2"/>
      </rPr>
      <t>OUT</t>
    </r>
  </si>
  <si>
    <r>
      <t>OUTPUT CAPACITOR, C</t>
    </r>
    <r>
      <rPr>
        <b/>
        <i/>
        <vertAlign val="subscript"/>
        <sz val="12"/>
        <color theme="0"/>
        <rFont val="Arial"/>
        <family val="2"/>
      </rPr>
      <t>OUT</t>
    </r>
  </si>
  <si>
    <r>
      <t>Enter Actual R</t>
    </r>
    <r>
      <rPr>
        <vertAlign val="subscript"/>
        <sz val="11"/>
        <color theme="1"/>
        <rFont val="Arial"/>
        <family val="2"/>
      </rPr>
      <t>CS</t>
    </r>
    <r>
      <rPr>
        <sz val="11"/>
        <color theme="1"/>
        <rFont val="Arial"/>
        <family val="2"/>
      </rPr>
      <t xml:space="preserve"> Used</t>
    </r>
  </si>
  <si>
    <r>
      <t>Required Positive Load Step Transient Current, I</t>
    </r>
    <r>
      <rPr>
        <vertAlign val="subscript"/>
        <sz val="11"/>
        <color theme="1"/>
        <rFont val="Arial"/>
        <family val="2"/>
      </rPr>
      <t>TRAN</t>
    </r>
    <r>
      <rPr>
        <sz val="11"/>
        <color theme="1"/>
        <rFont val="Arial"/>
        <family val="2"/>
      </rPr>
      <t xml:space="preserve"> =</t>
    </r>
  </si>
  <si>
    <t>Required Positive Load Step Transient Current</t>
  </si>
  <si>
    <r>
      <t>Maximum Allowable Response Time to Load Step Transient, t</t>
    </r>
    <r>
      <rPr>
        <vertAlign val="subscript"/>
        <sz val="11"/>
        <color theme="1"/>
        <rFont val="Arial"/>
        <family val="2"/>
      </rPr>
      <t>RESP</t>
    </r>
    <r>
      <rPr>
        <sz val="11"/>
        <color theme="1"/>
        <rFont val="Arial"/>
        <family val="2"/>
      </rPr>
      <t xml:space="preserve"> =</t>
    </r>
  </si>
  <si>
    <t>Maximum Allowable Response Time to Load Step Transient</t>
  </si>
  <si>
    <r>
      <t>Minimum Required C</t>
    </r>
    <r>
      <rPr>
        <vertAlign val="subscript"/>
        <sz val="11"/>
        <rFont val="Arial"/>
        <family val="2"/>
      </rPr>
      <t>OUT</t>
    </r>
    <r>
      <rPr>
        <sz val="11"/>
        <rFont val="Arial"/>
        <family val="2"/>
      </rPr>
      <t xml:space="preserve"> Without Opto-Coupled FeedBack</t>
    </r>
  </si>
  <si>
    <r>
      <t>C</t>
    </r>
    <r>
      <rPr>
        <vertAlign val="subscript"/>
        <sz val="11"/>
        <rFont val="Arial"/>
        <family val="2"/>
      </rPr>
      <t>OUT_no_opto</t>
    </r>
    <r>
      <rPr>
        <sz val="11"/>
        <rFont val="Arial"/>
        <family val="2"/>
      </rPr>
      <t xml:space="preserve"> =</t>
    </r>
  </si>
  <si>
    <r>
      <t>C</t>
    </r>
    <r>
      <rPr>
        <vertAlign val="subscript"/>
        <sz val="11"/>
        <rFont val="Arial"/>
        <family val="2"/>
      </rPr>
      <t>OUT</t>
    </r>
    <r>
      <rPr>
        <sz val="11"/>
        <rFont val="Arial"/>
        <family val="2"/>
      </rPr>
      <t xml:space="preserve"> =</t>
    </r>
  </si>
  <si>
    <t>Required Minimum Ripple Current Rating</t>
  </si>
  <si>
    <r>
      <t>I</t>
    </r>
    <r>
      <rPr>
        <vertAlign val="subscript"/>
        <sz val="11"/>
        <rFont val="Arial"/>
        <family val="2"/>
      </rPr>
      <t>COUTrms</t>
    </r>
    <r>
      <rPr>
        <sz val="11"/>
        <rFont val="Arial"/>
        <family val="2"/>
      </rPr>
      <t xml:space="preserve"> =</t>
    </r>
  </si>
  <si>
    <r>
      <t>ESR</t>
    </r>
    <r>
      <rPr>
        <vertAlign val="subscript"/>
        <sz val="11"/>
        <rFont val="Arial"/>
        <family val="2"/>
      </rPr>
      <t>Cout</t>
    </r>
    <r>
      <rPr>
        <sz val="11"/>
        <rFont val="Arial"/>
        <family val="2"/>
      </rPr>
      <t xml:space="preserve"> =</t>
    </r>
  </si>
  <si>
    <t>Minimum Demagnetizing Time</t>
  </si>
  <si>
    <r>
      <t>t</t>
    </r>
    <r>
      <rPr>
        <vertAlign val="subscript"/>
        <sz val="11"/>
        <color theme="1"/>
        <rFont val="Arial"/>
        <family val="2"/>
      </rPr>
      <t>DEMAGmin</t>
    </r>
    <r>
      <rPr>
        <sz val="11"/>
        <color theme="1"/>
        <rFont val="Arial"/>
        <family val="2"/>
      </rPr>
      <t xml:space="preserve"> =</t>
    </r>
  </si>
  <si>
    <r>
      <t xml:space="preserve"> R</t>
    </r>
    <r>
      <rPr>
        <vertAlign val="subscript"/>
        <sz val="11"/>
        <color theme="1"/>
        <rFont val="Arial"/>
        <family val="2"/>
      </rPr>
      <t>CS</t>
    </r>
    <r>
      <rPr>
        <sz val="11"/>
        <color theme="1"/>
        <rFont val="Arial"/>
        <family val="2"/>
      </rPr>
      <t xml:space="preserve"> =</t>
    </r>
  </si>
  <si>
    <r>
      <t>Allowable Output Voltage Drop During Load-Step Transient in Constant Voltage Mode, V</t>
    </r>
    <r>
      <rPr>
        <vertAlign val="subscript"/>
        <sz val="11"/>
        <color theme="1"/>
        <rFont val="Arial"/>
        <family val="2"/>
      </rPr>
      <t xml:space="preserve">OUTΔ </t>
    </r>
    <r>
      <rPr>
        <sz val="11"/>
        <color theme="1"/>
        <rFont val="Arial"/>
        <family val="2"/>
      </rPr>
      <t>=</t>
    </r>
  </si>
  <si>
    <t>COMPONENT SELECTION USER INPUTS</t>
  </si>
  <si>
    <t>OPTO-COUPLED FEEDBACK</t>
  </si>
  <si>
    <r>
      <t>LINE COMPENSATION, R</t>
    </r>
    <r>
      <rPr>
        <b/>
        <i/>
        <vertAlign val="subscript"/>
        <sz val="12"/>
        <color theme="0"/>
        <rFont val="Arial"/>
        <family val="2"/>
      </rPr>
      <t>LC</t>
    </r>
  </si>
  <si>
    <r>
      <t>VDD CAPACITOR, C</t>
    </r>
    <r>
      <rPr>
        <b/>
        <i/>
        <vertAlign val="subscript"/>
        <sz val="12"/>
        <color theme="0"/>
        <rFont val="Arial"/>
        <family val="2"/>
      </rPr>
      <t>VDD</t>
    </r>
  </si>
  <si>
    <t>VS Line Sense Run Current, Minimum</t>
  </si>
  <si>
    <r>
      <t>I</t>
    </r>
    <r>
      <rPr>
        <vertAlign val="subscript"/>
        <sz val="11"/>
        <color theme="1"/>
        <rFont val="Arial"/>
        <family val="2"/>
      </rPr>
      <t>VSLrun_min</t>
    </r>
    <r>
      <rPr>
        <sz val="11"/>
        <color theme="1"/>
        <rFont val="Arial"/>
        <family val="2"/>
      </rPr>
      <t xml:space="preserve"> =</t>
    </r>
  </si>
  <si>
    <r>
      <rPr>
        <sz val="11"/>
        <color theme="1"/>
        <rFont val="Calibri"/>
        <family val="2"/>
      </rPr>
      <t>µ</t>
    </r>
    <r>
      <rPr>
        <sz val="11"/>
        <color theme="1"/>
        <rFont val="Arial"/>
        <family val="2"/>
      </rPr>
      <t>A</t>
    </r>
  </si>
  <si>
    <t>VS Line Sense Run Current, Maximum</t>
  </si>
  <si>
    <r>
      <t>I</t>
    </r>
    <r>
      <rPr>
        <vertAlign val="subscript"/>
        <sz val="11"/>
        <color theme="1"/>
        <rFont val="Arial"/>
        <family val="2"/>
      </rPr>
      <t>VSLrun_max</t>
    </r>
    <r>
      <rPr>
        <sz val="11"/>
        <color theme="1"/>
        <rFont val="Arial"/>
        <family val="2"/>
      </rPr>
      <t xml:space="preserve"> =</t>
    </r>
  </si>
  <si>
    <r>
      <t>R</t>
    </r>
    <r>
      <rPr>
        <vertAlign val="subscript"/>
        <sz val="11"/>
        <color theme="1"/>
        <rFont val="Arial"/>
        <family val="2"/>
      </rPr>
      <t>VS1</t>
    </r>
    <r>
      <rPr>
        <sz val="11"/>
        <color theme="1"/>
        <rFont val="Arial"/>
        <family val="2"/>
      </rPr>
      <t xml:space="preserve"> =</t>
    </r>
  </si>
  <si>
    <t>uA factor</t>
  </si>
  <si>
    <r>
      <t>k</t>
    </r>
    <r>
      <rPr>
        <sz val="11"/>
        <color theme="1"/>
        <rFont val="Calibri"/>
        <family val="2"/>
      </rPr>
      <t>Ω</t>
    </r>
    <r>
      <rPr>
        <sz val="11"/>
        <color theme="1"/>
        <rFont val="Arial"/>
        <family val="2"/>
      </rPr>
      <t xml:space="preserve"> factor</t>
    </r>
  </si>
  <si>
    <r>
      <t>k</t>
    </r>
    <r>
      <rPr>
        <sz val="11"/>
        <color theme="1"/>
        <rFont val="Calibri"/>
        <family val="2"/>
      </rPr>
      <t>Ω</t>
    </r>
  </si>
  <si>
    <r>
      <t>Input Line Voltage Turn On Resistor, R</t>
    </r>
    <r>
      <rPr>
        <b/>
        <vertAlign val="subscript"/>
        <sz val="11"/>
        <color theme="0"/>
        <rFont val="Arial"/>
        <family val="2"/>
      </rPr>
      <t>VS1</t>
    </r>
  </si>
  <si>
    <r>
      <t>R</t>
    </r>
    <r>
      <rPr>
        <vertAlign val="subscript"/>
        <sz val="11"/>
        <color theme="1"/>
        <rFont val="Arial"/>
        <family val="2"/>
      </rPr>
      <t>VS1recommended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</si>
  <si>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</si>
  <si>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rPr>
        <b/>
        <sz val="11"/>
        <color theme="1"/>
        <rFont val="Arial"/>
        <family val="2"/>
      </rPr>
      <t>Recommended</t>
    </r>
    <r>
      <rPr>
        <sz val="11"/>
        <color theme="1"/>
        <rFont val="Arial"/>
        <family val="2"/>
      </rPr>
      <t xml:space="preserve"> Resistor Value for Minimum Start Up Line Voltage</t>
    </r>
  </si>
  <si>
    <r>
      <rPr>
        <b/>
        <sz val="11"/>
        <color theme="1"/>
        <rFont val="Arial"/>
        <family val="2"/>
      </rPr>
      <t>Actual</t>
    </r>
    <r>
      <rPr>
        <sz val="11"/>
        <color theme="1"/>
        <rFont val="Arial"/>
        <family val="2"/>
      </rPr>
      <t xml:space="preserve"> Resistor Value Used for Minimum Start Up Line Voltage</t>
    </r>
  </si>
  <si>
    <r>
      <t>R</t>
    </r>
    <r>
      <rPr>
        <vertAlign val="subscript"/>
        <sz val="11"/>
        <color theme="1"/>
        <rFont val="Arial"/>
        <family val="2"/>
      </rPr>
      <t>VS1actual</t>
    </r>
    <r>
      <rPr>
        <sz val="11"/>
        <color theme="1"/>
        <rFont val="Arial"/>
        <family val="2"/>
      </rPr>
      <t xml:space="preserve"> =</t>
    </r>
  </si>
  <si>
    <r>
      <t>R</t>
    </r>
    <r>
      <rPr>
        <vertAlign val="subscript"/>
        <sz val="11"/>
        <color theme="1"/>
        <rFont val="Arial"/>
        <family val="2"/>
      </rPr>
      <t>VS1</t>
    </r>
    <r>
      <rPr>
        <sz val="11"/>
        <color theme="1"/>
        <rFont val="Arial"/>
        <family val="2"/>
      </rPr>
      <t xml:space="preserve"> Value Used in Calculations</t>
    </r>
  </si>
  <si>
    <t>VS Line Sense Run Current, Nominal</t>
  </si>
  <si>
    <r>
      <t>I</t>
    </r>
    <r>
      <rPr>
        <vertAlign val="subscript"/>
        <sz val="11"/>
        <color theme="1"/>
        <rFont val="Arial"/>
        <family val="2"/>
      </rPr>
      <t>VSLrun_nom</t>
    </r>
    <r>
      <rPr>
        <sz val="11"/>
        <color theme="1"/>
        <rFont val="Arial"/>
        <family val="2"/>
      </rPr>
      <t xml:space="preserve"> =</t>
    </r>
  </si>
  <si>
    <r>
      <t>V</t>
    </r>
    <r>
      <rPr>
        <vertAlign val="subscript"/>
        <sz val="11"/>
        <color theme="1"/>
        <rFont val="Arial"/>
        <family val="2"/>
      </rPr>
      <t>TURNONmin</t>
    </r>
    <r>
      <rPr>
        <sz val="11"/>
        <color theme="1"/>
        <rFont val="Arial"/>
        <family val="2"/>
      </rPr>
      <t xml:space="preserve"> =</t>
    </r>
  </si>
  <si>
    <r>
      <t>V</t>
    </r>
    <r>
      <rPr>
        <vertAlign val="subscript"/>
        <sz val="11"/>
        <color theme="1"/>
        <rFont val="Arial"/>
        <family val="2"/>
      </rPr>
      <t>TURNONmax</t>
    </r>
    <r>
      <rPr>
        <sz val="11"/>
        <color theme="1"/>
        <rFont val="Arial"/>
        <family val="2"/>
      </rPr>
      <t xml:space="preserve"> =</t>
    </r>
  </si>
  <si>
    <t xml:space="preserve">Resultant Turn On Voltage, Nominal </t>
  </si>
  <si>
    <t xml:space="preserve">Resultant Turn On Voltage, Minimum </t>
  </si>
  <si>
    <t xml:space="preserve">Resultant Turn On Voltage, Maximum </t>
  </si>
  <si>
    <t>Resultant Input Brown Out Voltage, Minimum</t>
  </si>
  <si>
    <t>Resultant Input Brown Out Voltage, Maximum</t>
  </si>
  <si>
    <t>VS Line Sense Stop Current, Nominal</t>
  </si>
  <si>
    <t>VS Line Sense Stop Current, Minimum</t>
  </si>
  <si>
    <t>VS Line Sense Stop Current, Maximum</t>
  </si>
  <si>
    <r>
      <t>I</t>
    </r>
    <r>
      <rPr>
        <vertAlign val="subscript"/>
        <sz val="11"/>
        <color theme="1"/>
        <rFont val="Arial"/>
        <family val="2"/>
      </rPr>
      <t>VSLstop_min</t>
    </r>
    <r>
      <rPr>
        <sz val="11"/>
        <color theme="1"/>
        <rFont val="Arial"/>
        <family val="2"/>
      </rPr>
      <t xml:space="preserve"> =</t>
    </r>
  </si>
  <si>
    <r>
      <t>I</t>
    </r>
    <r>
      <rPr>
        <vertAlign val="subscript"/>
        <sz val="11"/>
        <color theme="1"/>
        <rFont val="Arial"/>
        <family val="2"/>
      </rPr>
      <t>VSLstop_nom</t>
    </r>
    <r>
      <rPr>
        <sz val="11"/>
        <color theme="1"/>
        <rFont val="Arial"/>
        <family val="2"/>
      </rPr>
      <t xml:space="preserve"> =</t>
    </r>
  </si>
  <si>
    <r>
      <t>I</t>
    </r>
    <r>
      <rPr>
        <vertAlign val="subscript"/>
        <sz val="11"/>
        <color theme="1"/>
        <rFont val="Arial"/>
        <family val="2"/>
      </rPr>
      <t>VSLstop_max</t>
    </r>
    <r>
      <rPr>
        <sz val="11"/>
        <color theme="1"/>
        <rFont val="Arial"/>
        <family val="2"/>
      </rPr>
      <t xml:space="preserve"> =</t>
    </r>
  </si>
  <si>
    <r>
      <t>V</t>
    </r>
    <r>
      <rPr>
        <vertAlign val="subscript"/>
        <sz val="11"/>
        <color theme="1"/>
        <rFont val="Arial"/>
        <family val="2"/>
      </rPr>
      <t>BROWNOUTmin</t>
    </r>
    <r>
      <rPr>
        <sz val="11"/>
        <color theme="1"/>
        <rFont val="Arial"/>
        <family val="2"/>
      </rPr>
      <t xml:space="preserve"> =</t>
    </r>
  </si>
  <si>
    <r>
      <t>V</t>
    </r>
    <r>
      <rPr>
        <vertAlign val="subscript"/>
        <sz val="11"/>
        <color theme="1"/>
        <rFont val="Arial"/>
        <family val="2"/>
      </rPr>
      <t>BROWNOUTmax</t>
    </r>
    <r>
      <rPr>
        <sz val="11"/>
        <color theme="1"/>
        <rFont val="Arial"/>
        <family val="2"/>
      </rPr>
      <t xml:space="preserve"> =</t>
    </r>
  </si>
  <si>
    <r>
      <t>VOLTAGE SENSE DIVIDER, R</t>
    </r>
    <r>
      <rPr>
        <b/>
        <i/>
        <vertAlign val="subscript"/>
        <sz val="12"/>
        <color theme="0"/>
        <rFont val="Arial"/>
        <family val="2"/>
      </rPr>
      <t>VS1</t>
    </r>
    <r>
      <rPr>
        <b/>
        <i/>
        <sz val="12"/>
        <color theme="0"/>
        <rFont val="Arial"/>
        <family val="2"/>
      </rPr>
      <t>, R</t>
    </r>
    <r>
      <rPr>
        <b/>
        <i/>
        <vertAlign val="subscript"/>
        <sz val="12"/>
        <color theme="0"/>
        <rFont val="Arial"/>
        <family val="2"/>
      </rPr>
      <t>VS2</t>
    </r>
  </si>
  <si>
    <r>
      <t>R</t>
    </r>
    <r>
      <rPr>
        <vertAlign val="subscript"/>
        <sz val="11"/>
        <color theme="1"/>
        <rFont val="Arial"/>
        <family val="2"/>
      </rPr>
      <t>VS2recommended</t>
    </r>
    <r>
      <rPr>
        <sz val="11"/>
        <color theme="1"/>
        <rFont val="Arial"/>
        <family val="2"/>
      </rPr>
      <t xml:space="preserve"> =</t>
    </r>
  </si>
  <si>
    <r>
      <t>V</t>
    </r>
    <r>
      <rPr>
        <vertAlign val="subscript"/>
        <sz val="11"/>
        <color theme="1"/>
        <rFont val="Arial"/>
        <family val="2"/>
      </rPr>
      <t>OVPmin</t>
    </r>
    <r>
      <rPr>
        <sz val="11"/>
        <color theme="1"/>
        <rFont val="Arial"/>
        <family val="2"/>
      </rPr>
      <t xml:space="preserve"> =</t>
    </r>
  </si>
  <si>
    <t>Internal VS Over Voltage Threshold, Minimum</t>
  </si>
  <si>
    <t>Internal VS Over Voltage Threshold, Nominal</t>
  </si>
  <si>
    <r>
      <t>V</t>
    </r>
    <r>
      <rPr>
        <vertAlign val="subscript"/>
        <sz val="11"/>
        <color theme="1"/>
        <rFont val="Arial"/>
        <family val="2"/>
      </rPr>
      <t>OVPnom</t>
    </r>
    <r>
      <rPr>
        <sz val="11"/>
        <color theme="1"/>
        <rFont val="Arial"/>
        <family val="2"/>
      </rPr>
      <t xml:space="preserve"> =</t>
    </r>
  </si>
  <si>
    <t>Internal VS Over Voltage Threshold, Maximum</t>
  </si>
  <si>
    <r>
      <t>V</t>
    </r>
    <r>
      <rPr>
        <vertAlign val="subscript"/>
        <sz val="11"/>
        <color theme="1"/>
        <rFont val="Arial"/>
        <family val="2"/>
      </rPr>
      <t>OVPmax</t>
    </r>
    <r>
      <rPr>
        <sz val="11"/>
        <color theme="1"/>
        <rFont val="Arial"/>
        <family val="2"/>
      </rPr>
      <t xml:space="preserve"> =</t>
    </r>
  </si>
  <si>
    <t>Device Parameter</t>
  </si>
  <si>
    <t>kΩ</t>
  </si>
  <si>
    <r>
      <rPr>
        <b/>
        <sz val="11"/>
        <color theme="1"/>
        <rFont val="Arial"/>
        <family val="2"/>
      </rPr>
      <t>Recommended</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</si>
  <si>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Recommended R</t>
    </r>
    <r>
      <rPr>
        <vertAlign val="subscript"/>
        <sz val="11"/>
        <color theme="1"/>
        <rFont val="Arial"/>
        <family val="2"/>
      </rPr>
      <t>VS1</t>
    </r>
  </si>
  <si>
    <r>
      <t>Enter Actual R</t>
    </r>
    <r>
      <rPr>
        <vertAlign val="subscript"/>
        <sz val="11"/>
        <color theme="1"/>
        <rFont val="Arial"/>
        <family val="2"/>
      </rPr>
      <t>VS1</t>
    </r>
    <r>
      <rPr>
        <sz val="11"/>
        <color theme="1"/>
        <rFont val="Arial"/>
        <family val="2"/>
      </rPr>
      <t xml:space="preserve"> Used</t>
    </r>
  </si>
  <si>
    <t>Output Over Voltage Protection</t>
  </si>
  <si>
    <r>
      <t>R</t>
    </r>
    <r>
      <rPr>
        <vertAlign val="subscript"/>
        <sz val="11"/>
        <color theme="1"/>
        <rFont val="Arial"/>
        <family val="2"/>
      </rPr>
      <t>VS2actual</t>
    </r>
    <r>
      <rPr>
        <sz val="11"/>
        <color theme="1"/>
        <rFont val="Arial"/>
        <family val="2"/>
      </rPr>
      <t xml:space="preserve"> =</t>
    </r>
  </si>
  <si>
    <r>
      <rPr>
        <b/>
        <sz val="11"/>
        <color theme="1"/>
        <rFont val="Arial"/>
        <family val="2"/>
      </rPr>
      <t xml:space="preserve">Actual </t>
    </r>
    <r>
      <rPr>
        <sz val="11"/>
        <color theme="1"/>
        <rFont val="Arial"/>
        <family val="2"/>
      </rPr>
      <t>Resistor Value Used for Desired Output Over Voltage Limit</t>
    </r>
  </si>
  <si>
    <r>
      <t>R</t>
    </r>
    <r>
      <rPr>
        <vertAlign val="subscript"/>
        <sz val="11"/>
        <color theme="1"/>
        <rFont val="Arial"/>
        <family val="2"/>
      </rPr>
      <t>VS2</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</si>
  <si>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</si>
  <si>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t>Recommended R</t>
    </r>
    <r>
      <rPr>
        <vertAlign val="subscript"/>
        <sz val="11"/>
        <color theme="1"/>
        <rFont val="Arial"/>
        <family val="2"/>
      </rPr>
      <t>VS2</t>
    </r>
  </si>
  <si>
    <r>
      <t>Enter Actual R</t>
    </r>
    <r>
      <rPr>
        <vertAlign val="subscript"/>
        <sz val="11"/>
        <color theme="1"/>
        <rFont val="Arial"/>
        <family val="2"/>
      </rPr>
      <t>VS2</t>
    </r>
    <r>
      <rPr>
        <sz val="11"/>
        <color theme="1"/>
        <rFont val="Arial"/>
        <family val="2"/>
      </rPr>
      <t xml:space="preserve"> Used</t>
    </r>
  </si>
  <si>
    <r>
      <rPr>
        <b/>
        <sz val="11"/>
        <color theme="1"/>
        <rFont val="Arial"/>
        <family val="2"/>
      </rPr>
      <t>Actual</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</si>
  <si>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</si>
  <si>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Resultant Input Brown Out Voltage, Nominal</t>
  </si>
  <si>
    <t>Resultant Output Over Voltage Threshold, Minimum</t>
  </si>
  <si>
    <r>
      <t>V</t>
    </r>
    <r>
      <rPr>
        <vertAlign val="subscript"/>
        <sz val="11"/>
        <color theme="1"/>
        <rFont val="Arial"/>
        <family val="2"/>
      </rPr>
      <t>OUT_OVPmin</t>
    </r>
    <r>
      <rPr>
        <sz val="11"/>
        <color theme="1"/>
        <rFont val="Arial"/>
        <family val="2"/>
      </rPr>
      <t xml:space="preserve"> =</t>
    </r>
  </si>
  <si>
    <t>Resultant Output Over Voltage Threshold, Nominal</t>
  </si>
  <si>
    <r>
      <t>V</t>
    </r>
    <r>
      <rPr>
        <vertAlign val="subscript"/>
        <sz val="11"/>
        <color theme="1"/>
        <rFont val="Arial"/>
        <family val="2"/>
      </rPr>
      <t>OUT_OVPmax</t>
    </r>
    <r>
      <rPr>
        <sz val="11"/>
        <color theme="1"/>
        <rFont val="Arial"/>
        <family val="2"/>
      </rPr>
      <t xml:space="preserve"> =</t>
    </r>
  </si>
  <si>
    <t>Resultant Output Over Voltage Threshold, Maximum</t>
  </si>
  <si>
    <r>
      <t xml:space="preserve"> V</t>
    </r>
    <r>
      <rPr>
        <vertAlign val="subscript"/>
        <sz val="11"/>
        <rFont val="Arial"/>
        <family val="2"/>
      </rPr>
      <t>INPUTmin</t>
    </r>
    <r>
      <rPr>
        <sz val="11"/>
        <rFont val="Arial"/>
        <family val="2"/>
      </rPr>
      <t xml:space="preserve"> =</t>
    </r>
  </si>
  <si>
    <r>
      <t>V</t>
    </r>
    <r>
      <rPr>
        <vertAlign val="subscript"/>
        <sz val="11"/>
        <rFont val="Arial"/>
        <family val="2"/>
      </rPr>
      <t>INPUTmax</t>
    </r>
    <r>
      <rPr>
        <sz val="11"/>
        <rFont val="Arial"/>
        <family val="2"/>
      </rPr>
      <t xml:space="preserve"> =</t>
    </r>
  </si>
  <si>
    <r>
      <t>V</t>
    </r>
    <r>
      <rPr>
        <vertAlign val="subscript"/>
        <sz val="11"/>
        <rFont val="Arial"/>
        <family val="2"/>
      </rPr>
      <t>INPUTnom</t>
    </r>
    <r>
      <rPr>
        <sz val="11"/>
        <rFont val="Arial"/>
        <family val="2"/>
      </rPr>
      <t xml:space="preserve"> =</t>
    </r>
  </si>
  <si>
    <r>
      <t xml:space="preserve"> f</t>
    </r>
    <r>
      <rPr>
        <vertAlign val="subscript"/>
        <sz val="11"/>
        <rFont val="Arial"/>
        <family val="2"/>
      </rPr>
      <t>LINEmin</t>
    </r>
    <r>
      <rPr>
        <sz val="11"/>
        <rFont val="Arial"/>
        <family val="2"/>
      </rPr>
      <t xml:space="preserve"> =</t>
    </r>
  </si>
  <si>
    <r>
      <t>V</t>
    </r>
    <r>
      <rPr>
        <vertAlign val="subscript"/>
        <sz val="11"/>
        <rFont val="Arial"/>
        <family val="2"/>
      </rPr>
      <t>INPUTrun</t>
    </r>
    <r>
      <rPr>
        <sz val="11"/>
        <rFont val="Arial"/>
        <family val="2"/>
      </rPr>
      <t xml:space="preserve"> =</t>
    </r>
  </si>
  <si>
    <r>
      <t>V</t>
    </r>
    <r>
      <rPr>
        <vertAlign val="subscript"/>
        <sz val="11"/>
        <rFont val="Arial"/>
        <family val="2"/>
      </rPr>
      <t>OUT_CV</t>
    </r>
    <r>
      <rPr>
        <sz val="11"/>
        <rFont val="Arial"/>
        <family val="2"/>
      </rPr>
      <t xml:space="preserve"> =</t>
    </r>
  </si>
  <si>
    <r>
      <t>I</t>
    </r>
    <r>
      <rPr>
        <vertAlign val="subscript"/>
        <sz val="11"/>
        <rFont val="Arial"/>
        <family val="2"/>
      </rPr>
      <t>OCC_target</t>
    </r>
    <r>
      <rPr>
        <sz val="11"/>
        <rFont val="Arial"/>
        <family val="2"/>
      </rPr>
      <t xml:space="preserve"> =</t>
    </r>
  </si>
  <si>
    <r>
      <t>V</t>
    </r>
    <r>
      <rPr>
        <vertAlign val="subscript"/>
        <sz val="11"/>
        <rFont val="Arial"/>
        <family val="2"/>
      </rPr>
      <t>OUT_CC</t>
    </r>
    <r>
      <rPr>
        <sz val="11"/>
        <rFont val="Arial"/>
        <family val="2"/>
      </rPr>
      <t xml:space="preserve"> =</t>
    </r>
  </si>
  <si>
    <r>
      <t>V</t>
    </r>
    <r>
      <rPr>
        <vertAlign val="subscript"/>
        <sz val="11"/>
        <rFont val="Arial"/>
        <family val="2"/>
      </rPr>
      <t>OUTΔ</t>
    </r>
    <r>
      <rPr>
        <sz val="11"/>
        <rFont val="Arial"/>
        <family val="2"/>
      </rPr>
      <t xml:space="preserve"> =</t>
    </r>
  </si>
  <si>
    <r>
      <t>V</t>
    </r>
    <r>
      <rPr>
        <vertAlign val="subscript"/>
        <sz val="11"/>
        <rFont val="Arial"/>
        <family val="2"/>
      </rPr>
      <t>RIPPLE</t>
    </r>
    <r>
      <rPr>
        <sz val="11"/>
        <rFont val="Arial"/>
        <family val="2"/>
      </rPr>
      <t xml:space="preserve"> =</t>
    </r>
  </si>
  <si>
    <r>
      <t>I</t>
    </r>
    <r>
      <rPr>
        <vertAlign val="subscript"/>
        <sz val="11"/>
        <rFont val="Arial"/>
        <family val="2"/>
      </rPr>
      <t>TRAN</t>
    </r>
    <r>
      <rPr>
        <sz val="11"/>
        <rFont val="Arial"/>
        <family val="2"/>
      </rPr>
      <t xml:space="preserve"> =</t>
    </r>
  </si>
  <si>
    <r>
      <t>t</t>
    </r>
    <r>
      <rPr>
        <vertAlign val="subscript"/>
        <sz val="11"/>
        <rFont val="Arial"/>
        <family val="2"/>
      </rPr>
      <t>RESP</t>
    </r>
    <r>
      <rPr>
        <sz val="11"/>
        <rFont val="Arial"/>
        <family val="2"/>
      </rPr>
      <t xml:space="preserve"> =</t>
    </r>
  </si>
  <si>
    <r>
      <t>V</t>
    </r>
    <r>
      <rPr>
        <vertAlign val="subscript"/>
        <sz val="11"/>
        <rFont val="Arial"/>
        <family val="2"/>
      </rPr>
      <t>OUT_OVP</t>
    </r>
    <r>
      <rPr>
        <sz val="11"/>
        <rFont val="Arial"/>
        <family val="2"/>
      </rPr>
      <t xml:space="preserve"> =</t>
    </r>
  </si>
  <si>
    <t>A/A</t>
  </si>
  <si>
    <r>
      <t>K</t>
    </r>
    <r>
      <rPr>
        <vertAlign val="subscript"/>
        <sz val="11"/>
        <color theme="1"/>
        <rFont val="Arial"/>
        <family val="2"/>
      </rPr>
      <t>LCnom</t>
    </r>
    <r>
      <rPr>
        <sz val="11"/>
        <color theme="1"/>
        <rFont val="Arial"/>
        <family val="2"/>
      </rPr>
      <t xml:space="preserve"> =</t>
    </r>
  </si>
  <si>
    <t>Line Compensation Current Ratio, Nominal</t>
  </si>
  <si>
    <r>
      <t>MOSFET Turn Off Delay Time, t</t>
    </r>
    <r>
      <rPr>
        <vertAlign val="subscript"/>
        <sz val="11"/>
        <color theme="1"/>
        <rFont val="Arial"/>
        <family val="2"/>
      </rPr>
      <t>Doff</t>
    </r>
    <r>
      <rPr>
        <sz val="11"/>
        <color theme="1"/>
        <rFont val="Arial"/>
        <family val="2"/>
      </rPr>
      <t xml:space="preserve"> =</t>
    </r>
  </si>
  <si>
    <t>MOSFET Turn Off Delay Time</t>
  </si>
  <si>
    <r>
      <t>t</t>
    </r>
    <r>
      <rPr>
        <vertAlign val="subscript"/>
        <sz val="11"/>
        <color theme="1"/>
        <rFont val="Arial"/>
        <family val="2"/>
      </rPr>
      <t>Doff</t>
    </r>
    <r>
      <rPr>
        <sz val="11"/>
        <color theme="1"/>
        <rFont val="Arial"/>
        <family val="2"/>
      </rPr>
      <t xml:space="preserve"> =</t>
    </r>
  </si>
  <si>
    <r>
      <t>t</t>
    </r>
    <r>
      <rPr>
        <vertAlign val="subscript"/>
        <sz val="11"/>
        <color theme="1"/>
        <rFont val="Arial"/>
        <family val="2"/>
      </rPr>
      <t>DELAY</t>
    </r>
    <r>
      <rPr>
        <sz val="11"/>
        <color theme="1"/>
        <rFont val="Arial"/>
        <family val="2"/>
      </rPr>
      <t xml:space="preserve"> =</t>
    </r>
  </si>
  <si>
    <t>Total Estimated Current Sense Delay</t>
  </si>
  <si>
    <r>
      <rPr>
        <b/>
        <sz val="11"/>
        <color theme="1"/>
        <rFont val="Arial"/>
        <family val="2"/>
      </rPr>
      <t>Recommended</t>
    </r>
    <r>
      <rPr>
        <sz val="11"/>
        <color theme="1"/>
        <rFont val="Arial"/>
        <family val="2"/>
      </rPr>
      <t xml:space="preserve"> Resistor Value for Desired Output Over Voltage Limit</t>
    </r>
  </si>
  <si>
    <r>
      <t>R</t>
    </r>
    <r>
      <rPr>
        <vertAlign val="subscript"/>
        <sz val="11"/>
        <color theme="1"/>
        <rFont val="Arial"/>
        <family val="2"/>
      </rPr>
      <t>LC</t>
    </r>
    <r>
      <rPr>
        <sz val="11"/>
        <color theme="1"/>
        <rFont val="Arial"/>
        <family val="2"/>
      </rPr>
      <t xml:space="preserve"> =</t>
    </r>
  </si>
  <si>
    <r>
      <rPr>
        <b/>
        <sz val="11"/>
        <rFont val="Arial"/>
        <family val="2"/>
      </rPr>
      <t>Recommended</t>
    </r>
    <r>
      <rPr>
        <sz val="11"/>
        <rFont val="Arial"/>
        <family val="2"/>
      </rPr>
      <t xml:space="preserve"> Resistor Value for Line Compensation</t>
    </r>
  </si>
  <si>
    <r>
      <t>I</t>
    </r>
    <r>
      <rPr>
        <vertAlign val="subscript"/>
        <sz val="11"/>
        <color theme="1"/>
        <rFont val="Arial"/>
        <family val="2"/>
      </rPr>
      <t>RUNmax</t>
    </r>
    <r>
      <rPr>
        <sz val="11"/>
        <color theme="1"/>
        <rFont val="Arial"/>
        <family val="2"/>
      </rPr>
      <t xml:space="preserve"> =</t>
    </r>
  </si>
  <si>
    <r>
      <t>MOSFET Total Gate Charge, Q</t>
    </r>
    <r>
      <rPr>
        <vertAlign val="subscript"/>
        <sz val="11"/>
        <color theme="1"/>
        <rFont val="Arial"/>
        <family val="2"/>
      </rPr>
      <t>g</t>
    </r>
    <r>
      <rPr>
        <sz val="11"/>
        <color theme="1"/>
        <rFont val="Arial"/>
        <family val="2"/>
      </rPr>
      <t xml:space="preserve"> =</t>
    </r>
  </si>
  <si>
    <t>nC</t>
  </si>
  <si>
    <t>nC factor</t>
  </si>
  <si>
    <r>
      <rPr>
        <b/>
        <sz val="11"/>
        <rFont val="Arial"/>
        <family val="2"/>
      </rPr>
      <t>Recommended</t>
    </r>
    <r>
      <rPr>
        <sz val="11"/>
        <rFont val="Arial"/>
        <family val="2"/>
      </rPr>
      <t xml:space="preserve"> Minimum Required Output Capacitor With Opto-Coupled FeedBack</t>
    </r>
  </si>
  <si>
    <r>
      <t>Output Capacitor, C</t>
    </r>
    <r>
      <rPr>
        <b/>
        <vertAlign val="subscript"/>
        <sz val="11"/>
        <color theme="0"/>
        <rFont val="Arial"/>
        <family val="2"/>
      </rPr>
      <t>OUT</t>
    </r>
  </si>
  <si>
    <r>
      <rPr>
        <b/>
        <sz val="11"/>
        <color theme="1"/>
        <rFont val="Arial"/>
        <family val="2"/>
      </rPr>
      <t>Recommended</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</si>
  <si>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rPr>
        <b/>
        <sz val="11"/>
        <color theme="1"/>
        <rFont val="Arial"/>
        <family val="2"/>
      </rPr>
      <t>Actual</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</si>
  <si>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t>C</t>
    </r>
    <r>
      <rPr>
        <vertAlign val="subscript"/>
        <sz val="11"/>
        <rFont val="Arial"/>
        <family val="2"/>
      </rPr>
      <t>OUTrecommended</t>
    </r>
    <r>
      <rPr>
        <sz val="11"/>
        <rFont val="Arial"/>
        <family val="2"/>
      </rPr>
      <t>=</t>
    </r>
  </si>
  <si>
    <r>
      <rPr>
        <b/>
        <sz val="11"/>
        <rFont val="Arial"/>
        <family val="2"/>
      </rPr>
      <t>Actual</t>
    </r>
    <r>
      <rPr>
        <sz val="11"/>
        <rFont val="Arial"/>
        <family val="2"/>
      </rPr>
      <t xml:space="preserve"> Output Capacitance Used</t>
    </r>
  </si>
  <si>
    <r>
      <t>C</t>
    </r>
    <r>
      <rPr>
        <vertAlign val="subscript"/>
        <sz val="11"/>
        <rFont val="Arial"/>
        <family val="2"/>
      </rPr>
      <t>OUTactual</t>
    </r>
    <r>
      <rPr>
        <sz val="11"/>
        <rFont val="Arial"/>
        <family val="2"/>
      </rPr>
      <t xml:space="preserve"> =</t>
    </r>
  </si>
  <si>
    <r>
      <rPr>
        <sz val="11"/>
        <rFont val="Calibri"/>
        <family val="2"/>
      </rPr>
      <t>µ</t>
    </r>
    <r>
      <rPr>
        <sz val="11"/>
        <rFont val="Arial"/>
        <family val="2"/>
      </rPr>
      <t>F</t>
    </r>
  </si>
  <si>
    <r>
      <t>C</t>
    </r>
    <r>
      <rPr>
        <vertAlign val="subscript"/>
        <sz val="11"/>
        <rFont val="Arial"/>
        <family val="2"/>
      </rPr>
      <t>OUT</t>
    </r>
    <r>
      <rPr>
        <sz val="11"/>
        <rFont val="Arial"/>
        <family val="2"/>
      </rPr>
      <t xml:space="preserve"> Used in Calculations</t>
    </r>
  </si>
  <si>
    <r>
      <rPr>
        <b/>
        <sz val="11"/>
        <color theme="1"/>
        <rFont val="Arial"/>
        <family val="2"/>
      </rPr>
      <t>Recommended</t>
    </r>
    <r>
      <rPr>
        <sz val="11"/>
        <color theme="1"/>
        <rFont val="Arial"/>
        <family val="2"/>
      </rPr>
      <t xml:space="preserve"> Maximum ESR, ESR</t>
    </r>
    <r>
      <rPr>
        <vertAlign val="subscript"/>
        <sz val="11"/>
        <color theme="1"/>
        <rFont val="Arial"/>
        <family val="2"/>
      </rPr>
      <t>Cout</t>
    </r>
    <r>
      <rPr>
        <sz val="11"/>
        <color theme="1"/>
        <rFont val="Arial"/>
        <family val="2"/>
      </rPr>
      <t xml:space="preserve"> =</t>
    </r>
  </si>
  <si>
    <r>
      <t>ESR</t>
    </r>
    <r>
      <rPr>
        <vertAlign val="subscript"/>
        <sz val="11"/>
        <rFont val="Arial"/>
        <family val="2"/>
      </rPr>
      <t>Coutrecommended</t>
    </r>
    <r>
      <rPr>
        <sz val="11"/>
        <rFont val="Arial"/>
        <family val="2"/>
      </rPr>
      <t xml:space="preserve"> =</t>
    </r>
  </si>
  <si>
    <r>
      <rPr>
        <b/>
        <sz val="11"/>
        <rFont val="Arial"/>
        <family val="2"/>
      </rPr>
      <t>Recommended</t>
    </r>
    <r>
      <rPr>
        <sz val="11"/>
        <rFont val="Arial"/>
        <family val="2"/>
      </rPr>
      <t xml:space="preserve"> Maximum ESR</t>
    </r>
  </si>
  <si>
    <r>
      <rPr>
        <b/>
        <sz val="11"/>
        <rFont val="Arial"/>
        <family val="2"/>
      </rPr>
      <t>Actual</t>
    </r>
    <r>
      <rPr>
        <sz val="11"/>
        <rFont val="Arial"/>
        <family val="2"/>
      </rPr>
      <t xml:space="preserve"> ESR of C</t>
    </r>
    <r>
      <rPr>
        <vertAlign val="subscript"/>
        <sz val="11"/>
        <rFont val="Arial"/>
        <family val="2"/>
      </rPr>
      <t>OUT</t>
    </r>
    <r>
      <rPr>
        <sz val="11"/>
        <rFont val="Arial"/>
        <family val="2"/>
      </rPr>
      <t xml:space="preserve"> Used</t>
    </r>
  </si>
  <si>
    <r>
      <t>ESR</t>
    </r>
    <r>
      <rPr>
        <vertAlign val="subscript"/>
        <sz val="11"/>
        <rFont val="Arial"/>
        <family val="2"/>
      </rPr>
      <t>Coutactual</t>
    </r>
    <r>
      <rPr>
        <sz val="11"/>
        <rFont val="Arial"/>
        <family val="2"/>
      </rPr>
      <t xml:space="preserve"> =</t>
    </r>
  </si>
  <si>
    <t>Recommended ESR</t>
  </si>
  <si>
    <r>
      <t>Recommended C</t>
    </r>
    <r>
      <rPr>
        <vertAlign val="subscript"/>
        <sz val="11"/>
        <color theme="1"/>
        <rFont val="Arial"/>
        <family val="2"/>
      </rPr>
      <t>OUT</t>
    </r>
  </si>
  <si>
    <r>
      <t>Enter Actual C</t>
    </r>
    <r>
      <rPr>
        <vertAlign val="subscript"/>
        <sz val="11"/>
        <color theme="1"/>
        <rFont val="Arial"/>
        <family val="2"/>
      </rPr>
      <t>OUT</t>
    </r>
    <r>
      <rPr>
        <sz val="11"/>
        <color theme="1"/>
        <rFont val="Arial"/>
        <family val="2"/>
      </rPr>
      <t xml:space="preserve"> Used</t>
    </r>
  </si>
  <si>
    <r>
      <t>Enter Actual ESR of C</t>
    </r>
    <r>
      <rPr>
        <vertAlign val="subscript"/>
        <sz val="11"/>
        <color theme="1"/>
        <rFont val="Arial"/>
        <family val="2"/>
      </rPr>
      <t>OUT</t>
    </r>
    <r>
      <rPr>
        <sz val="11"/>
        <color theme="1"/>
        <rFont val="Arial"/>
        <family val="2"/>
      </rPr>
      <t xml:space="preserve"> Used</t>
    </r>
  </si>
  <si>
    <t>ESR Used in Calculations</t>
  </si>
  <si>
    <t>Resultant Output Voltage Peak to Peak Ripple</t>
  </si>
  <si>
    <t>Device Supply Current During Run Mode, Maximum</t>
  </si>
  <si>
    <r>
      <t>VDD</t>
    </r>
    <r>
      <rPr>
        <vertAlign val="subscript"/>
        <sz val="11"/>
        <color theme="1"/>
        <rFont val="Arial"/>
        <family val="2"/>
      </rPr>
      <t>ON</t>
    </r>
    <r>
      <rPr>
        <sz val="11"/>
        <color theme="1"/>
        <rFont val="Arial"/>
        <family val="2"/>
      </rPr>
      <t xml:space="preserve"> Voltage, Maximum</t>
    </r>
  </si>
  <si>
    <r>
      <t>VDD</t>
    </r>
    <r>
      <rPr>
        <vertAlign val="subscript"/>
        <sz val="11"/>
        <color theme="1"/>
        <rFont val="Arial"/>
        <family val="2"/>
      </rPr>
      <t>ONmax</t>
    </r>
    <r>
      <rPr>
        <sz val="11"/>
        <color theme="1"/>
        <rFont val="Arial"/>
        <family val="2"/>
      </rPr>
      <t xml:space="preserve"> =</t>
    </r>
  </si>
  <si>
    <r>
      <t>VDD</t>
    </r>
    <r>
      <rPr>
        <vertAlign val="subscript"/>
        <sz val="11"/>
        <color theme="1"/>
        <rFont val="Arial"/>
        <family val="2"/>
      </rPr>
      <t>OFFmax</t>
    </r>
    <r>
      <rPr>
        <sz val="11"/>
        <color theme="1"/>
        <rFont val="Arial"/>
        <family val="2"/>
      </rPr>
      <t xml:space="preserve"> =</t>
    </r>
  </si>
  <si>
    <r>
      <t>VDD</t>
    </r>
    <r>
      <rPr>
        <vertAlign val="subscript"/>
        <sz val="11"/>
        <color theme="1"/>
        <rFont val="Arial"/>
        <family val="2"/>
      </rPr>
      <t>OFF</t>
    </r>
    <r>
      <rPr>
        <sz val="11"/>
        <color theme="1"/>
        <rFont val="Arial"/>
        <family val="2"/>
      </rPr>
      <t xml:space="preserve"> Voltage, Maximum</t>
    </r>
  </si>
  <si>
    <t>Maximum Stand By Power Dissipation</t>
  </si>
  <si>
    <r>
      <t>P</t>
    </r>
    <r>
      <rPr>
        <vertAlign val="subscript"/>
        <sz val="11"/>
        <rFont val="Arial"/>
        <family val="2"/>
      </rPr>
      <t>SBtarget</t>
    </r>
    <r>
      <rPr>
        <sz val="11"/>
        <rFont val="Arial"/>
        <family val="2"/>
      </rPr>
      <t xml:space="preserve"> =</t>
    </r>
  </si>
  <si>
    <t>Estimated Minimum Switching Frequency at No-Load</t>
  </si>
  <si>
    <r>
      <t>f</t>
    </r>
    <r>
      <rPr>
        <vertAlign val="subscript"/>
        <sz val="11"/>
        <color theme="1"/>
        <rFont val="Arial"/>
        <family val="2"/>
      </rPr>
      <t>SWmin</t>
    </r>
    <r>
      <rPr>
        <sz val="11"/>
        <color theme="1"/>
        <rFont val="Arial"/>
        <family val="2"/>
      </rPr>
      <t xml:space="preserve"> =</t>
    </r>
  </si>
  <si>
    <t>Minimum VDD Capacitor for Start UP</t>
  </si>
  <si>
    <r>
      <t>C</t>
    </r>
    <r>
      <rPr>
        <vertAlign val="subscript"/>
        <sz val="11"/>
        <color theme="1"/>
        <rFont val="Arial"/>
        <family val="2"/>
      </rPr>
      <t>VDD1</t>
    </r>
    <r>
      <rPr>
        <sz val="11"/>
        <color theme="1"/>
        <rFont val="Arial"/>
        <family val="2"/>
      </rPr>
      <t xml:space="preserve"> =</t>
    </r>
  </si>
  <si>
    <t>MOSFET Total Gate Charge</t>
  </si>
  <si>
    <r>
      <t>Q</t>
    </r>
    <r>
      <rPr>
        <vertAlign val="subscript"/>
        <sz val="11"/>
        <color theme="1"/>
        <rFont val="Arial"/>
        <family val="2"/>
      </rPr>
      <t>g</t>
    </r>
    <r>
      <rPr>
        <sz val="11"/>
        <color theme="1"/>
        <rFont val="Arial"/>
        <family val="2"/>
      </rPr>
      <t xml:space="preserve"> =</t>
    </r>
  </si>
  <si>
    <r>
      <rPr>
        <sz val="11"/>
        <color theme="1"/>
        <rFont val="Calibri"/>
        <family val="2"/>
      </rPr>
      <t>µ</t>
    </r>
    <r>
      <rPr>
        <sz val="11"/>
        <color theme="1"/>
        <rFont val="Arial"/>
        <family val="2"/>
      </rPr>
      <t>F</t>
    </r>
  </si>
  <si>
    <r>
      <t>C</t>
    </r>
    <r>
      <rPr>
        <vertAlign val="subscript"/>
        <sz val="11"/>
        <color theme="1"/>
        <rFont val="Arial"/>
        <family val="2"/>
      </rPr>
      <t>VDD2</t>
    </r>
    <r>
      <rPr>
        <sz val="11"/>
        <color theme="1"/>
        <rFont val="Arial"/>
        <family val="2"/>
      </rPr>
      <t xml:space="preserve"> =</t>
    </r>
  </si>
  <si>
    <t>Estimated Over Voltage Charge Duration</t>
  </si>
  <si>
    <r>
      <t>t</t>
    </r>
    <r>
      <rPr>
        <vertAlign val="subscript"/>
        <sz val="11"/>
        <color theme="1"/>
        <rFont val="Arial"/>
        <family val="2"/>
      </rPr>
      <t>OV</t>
    </r>
    <r>
      <rPr>
        <sz val="11"/>
        <color theme="1"/>
        <rFont val="Arial"/>
        <family val="2"/>
      </rPr>
      <t xml:space="preserve"> =</t>
    </r>
  </si>
  <si>
    <r>
      <t>Recommeded R</t>
    </r>
    <r>
      <rPr>
        <vertAlign val="subscript"/>
        <sz val="11"/>
        <color theme="1"/>
        <rFont val="Arial"/>
        <family val="2"/>
      </rPr>
      <t>LC</t>
    </r>
  </si>
  <si>
    <r>
      <rPr>
        <b/>
        <sz val="11"/>
        <color theme="1"/>
        <rFont val="Arial"/>
        <family val="2"/>
      </rPr>
      <t>Recommended</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</si>
  <si>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</si>
  <si>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rFont val="Arial"/>
        <family val="2"/>
      </rPr>
      <t>Actual</t>
    </r>
    <r>
      <rPr>
        <sz val="11"/>
        <rFont val="Arial"/>
        <family val="2"/>
      </rPr>
      <t xml:space="preserve"> Resistor Value Used for Line Compensation</t>
    </r>
  </si>
  <si>
    <r>
      <t>R</t>
    </r>
    <r>
      <rPr>
        <vertAlign val="subscript"/>
        <sz val="11"/>
        <color theme="1"/>
        <rFont val="Arial"/>
        <family val="2"/>
      </rPr>
      <t>LCrecommended</t>
    </r>
    <r>
      <rPr>
        <sz val="11"/>
        <color theme="1"/>
        <rFont val="Arial"/>
        <family val="2"/>
      </rPr>
      <t xml:space="preserve"> =</t>
    </r>
  </si>
  <si>
    <r>
      <t>R</t>
    </r>
    <r>
      <rPr>
        <vertAlign val="subscript"/>
        <sz val="11"/>
        <color theme="1"/>
        <rFont val="Arial"/>
        <family val="2"/>
      </rPr>
      <t>LCactual</t>
    </r>
    <r>
      <rPr>
        <sz val="11"/>
        <color theme="1"/>
        <rFont val="Arial"/>
        <family val="2"/>
      </rPr>
      <t xml:space="preserve"> =</t>
    </r>
  </si>
  <si>
    <r>
      <t>R</t>
    </r>
    <r>
      <rPr>
        <vertAlign val="subscript"/>
        <sz val="11"/>
        <rFont val="Arial"/>
        <family val="2"/>
      </rPr>
      <t>LC</t>
    </r>
    <r>
      <rPr>
        <sz val="11"/>
        <rFont val="Arial"/>
        <family val="2"/>
      </rPr>
      <t xml:space="preserve"> Used in Calculations</t>
    </r>
  </si>
  <si>
    <t>Minimum VDD Capacitor for Target Ripple on VDD</t>
  </si>
  <si>
    <r>
      <t>C</t>
    </r>
    <r>
      <rPr>
        <vertAlign val="subscript"/>
        <sz val="11"/>
        <color theme="1"/>
        <rFont val="Arial"/>
        <family val="2"/>
      </rPr>
      <t>VDD3</t>
    </r>
    <r>
      <rPr>
        <sz val="11"/>
        <color theme="1"/>
        <rFont val="Arial"/>
        <family val="2"/>
      </rPr>
      <t xml:space="preserve"> =</t>
    </r>
  </si>
  <si>
    <t>Minimum VDD Capacitor for Load Transient</t>
  </si>
  <si>
    <r>
      <t>C</t>
    </r>
    <r>
      <rPr>
        <vertAlign val="subscript"/>
        <sz val="11"/>
        <color theme="1"/>
        <rFont val="Arial"/>
        <family val="2"/>
      </rPr>
      <t>VDDrecommended</t>
    </r>
    <r>
      <rPr>
        <sz val="11"/>
        <color theme="1"/>
        <rFont val="Arial"/>
        <family val="2"/>
      </rPr>
      <t xml:space="preserve"> =</t>
    </r>
  </si>
  <si>
    <r>
      <t>C</t>
    </r>
    <r>
      <rPr>
        <vertAlign val="subscript"/>
        <sz val="11"/>
        <color theme="1"/>
        <rFont val="Arial"/>
        <family val="2"/>
      </rPr>
      <t>VDD</t>
    </r>
    <r>
      <rPr>
        <sz val="11"/>
        <color theme="1"/>
        <rFont val="Arial"/>
        <family val="2"/>
      </rPr>
      <t xml:space="preserve"> Calculations:</t>
    </r>
  </si>
  <si>
    <r>
      <t>C</t>
    </r>
    <r>
      <rPr>
        <vertAlign val="subscript"/>
        <sz val="11"/>
        <color theme="1"/>
        <rFont val="Arial"/>
        <family val="2"/>
      </rPr>
      <t>VDD1</t>
    </r>
    <r>
      <rPr>
        <sz val="11"/>
        <color theme="1"/>
        <rFont val="Arial"/>
        <family val="2"/>
      </rPr>
      <t>:</t>
    </r>
  </si>
  <si>
    <r>
      <t>C</t>
    </r>
    <r>
      <rPr>
        <vertAlign val="subscript"/>
        <sz val="11"/>
        <color theme="1"/>
        <rFont val="Arial"/>
        <family val="2"/>
      </rPr>
      <t>VDD2</t>
    </r>
    <r>
      <rPr>
        <sz val="11"/>
        <color theme="1"/>
        <rFont val="Arial"/>
        <family val="2"/>
      </rPr>
      <t>:</t>
    </r>
  </si>
  <si>
    <r>
      <t>C</t>
    </r>
    <r>
      <rPr>
        <vertAlign val="subscript"/>
        <sz val="11"/>
        <color theme="1"/>
        <rFont val="Arial"/>
        <family val="2"/>
      </rPr>
      <t>VDD3</t>
    </r>
    <r>
      <rPr>
        <sz val="11"/>
        <color theme="1"/>
        <rFont val="Arial"/>
        <family val="2"/>
      </rPr>
      <t>:</t>
    </r>
  </si>
  <si>
    <r>
      <rPr>
        <b/>
        <sz val="11"/>
        <color theme="1"/>
        <rFont val="Arial"/>
        <family val="2"/>
      </rPr>
      <t xml:space="preserve">Recommended </t>
    </r>
    <r>
      <rPr>
        <sz val="11"/>
        <color theme="1"/>
        <rFont val="Arial"/>
        <family val="2"/>
      </rPr>
      <t>Capacitor on VDD</t>
    </r>
  </si>
  <si>
    <r>
      <t>C</t>
    </r>
    <r>
      <rPr>
        <vertAlign val="subscript"/>
        <sz val="11"/>
        <color theme="1"/>
        <rFont val="Arial"/>
        <family val="2"/>
      </rPr>
      <t>OUT</t>
    </r>
    <r>
      <rPr>
        <sz val="11"/>
        <color theme="1"/>
        <rFont val="Arial"/>
        <family val="2"/>
      </rPr>
      <t xml:space="preserve"> Calculations:</t>
    </r>
  </si>
  <si>
    <r>
      <t>C</t>
    </r>
    <r>
      <rPr>
        <vertAlign val="subscript"/>
        <sz val="11"/>
        <color theme="1"/>
        <rFont val="Arial"/>
        <family val="2"/>
      </rPr>
      <t>OUT</t>
    </r>
    <r>
      <rPr>
        <sz val="11"/>
        <color theme="1"/>
        <rFont val="Arial"/>
        <family val="2"/>
      </rPr>
      <t>:</t>
    </r>
  </si>
  <si>
    <r>
      <t>R</t>
    </r>
    <r>
      <rPr>
        <vertAlign val="subscript"/>
        <sz val="11"/>
        <color theme="1"/>
        <rFont val="Arial"/>
        <family val="2"/>
      </rPr>
      <t>VS1</t>
    </r>
    <r>
      <rPr>
        <sz val="11"/>
        <color theme="1"/>
        <rFont val="Arial"/>
        <family val="2"/>
      </rPr>
      <t>:</t>
    </r>
  </si>
  <si>
    <r>
      <t>R</t>
    </r>
    <r>
      <rPr>
        <vertAlign val="subscript"/>
        <sz val="11"/>
        <color theme="1"/>
        <rFont val="Arial"/>
        <family val="2"/>
      </rPr>
      <t>VS2</t>
    </r>
    <r>
      <rPr>
        <sz val="11"/>
        <color theme="1"/>
        <rFont val="Arial"/>
        <family val="2"/>
      </rPr>
      <t>:</t>
    </r>
  </si>
  <si>
    <r>
      <t>R</t>
    </r>
    <r>
      <rPr>
        <vertAlign val="subscript"/>
        <sz val="11"/>
        <color theme="1"/>
        <rFont val="Arial"/>
        <family val="2"/>
      </rPr>
      <t>LC</t>
    </r>
    <r>
      <rPr>
        <sz val="11"/>
        <color theme="1"/>
        <rFont val="Arial"/>
        <family val="2"/>
      </rPr>
      <t>:</t>
    </r>
  </si>
  <si>
    <t>Reference Voltage of TL431 Shunt Regulator</t>
  </si>
  <si>
    <r>
      <t>VREF</t>
    </r>
    <r>
      <rPr>
        <vertAlign val="subscript"/>
        <sz val="11"/>
        <color theme="1"/>
        <rFont val="Arial"/>
        <family val="2"/>
      </rPr>
      <t>431</t>
    </r>
    <r>
      <rPr>
        <sz val="11"/>
        <color theme="1"/>
        <rFont val="Arial"/>
        <family val="2"/>
      </rPr>
      <t xml:space="preserve"> =</t>
    </r>
  </si>
  <si>
    <r>
      <t>R</t>
    </r>
    <r>
      <rPr>
        <vertAlign val="subscript"/>
        <sz val="11"/>
        <color theme="1"/>
        <rFont val="Arial"/>
        <family val="2"/>
      </rPr>
      <t>FB2</t>
    </r>
    <r>
      <rPr>
        <sz val="11"/>
        <color theme="1"/>
        <rFont val="Arial"/>
        <family val="2"/>
      </rPr>
      <t xml:space="preserve"> =</t>
    </r>
  </si>
  <si>
    <r>
      <t>I</t>
    </r>
    <r>
      <rPr>
        <vertAlign val="subscript"/>
        <sz val="11"/>
        <color theme="1"/>
        <rFont val="Arial"/>
        <family val="2"/>
      </rPr>
      <t>REF431</t>
    </r>
    <r>
      <rPr>
        <sz val="11"/>
        <color theme="1"/>
        <rFont val="Arial"/>
        <family val="2"/>
      </rPr>
      <t xml:space="preserve"> =</t>
    </r>
  </si>
  <si>
    <r>
      <t>R</t>
    </r>
    <r>
      <rPr>
        <vertAlign val="subscript"/>
        <sz val="11"/>
        <color theme="1"/>
        <rFont val="Arial"/>
        <family val="2"/>
      </rPr>
      <t>FB2</t>
    </r>
    <r>
      <rPr>
        <sz val="11"/>
        <color theme="1"/>
        <rFont val="Arial"/>
        <family val="2"/>
      </rPr>
      <t>:</t>
    </r>
  </si>
  <si>
    <r>
      <t>Output Over Voltage Resistor, R</t>
    </r>
    <r>
      <rPr>
        <b/>
        <vertAlign val="subscript"/>
        <sz val="11"/>
        <color theme="0"/>
        <rFont val="Arial"/>
        <family val="2"/>
      </rPr>
      <t>VS2</t>
    </r>
  </si>
  <si>
    <r>
      <t>Line Compensation Resistor, R</t>
    </r>
    <r>
      <rPr>
        <b/>
        <vertAlign val="subscript"/>
        <sz val="11"/>
        <color theme="0"/>
        <rFont val="Arial"/>
        <family val="2"/>
      </rPr>
      <t>LC</t>
    </r>
  </si>
  <si>
    <r>
      <t>R</t>
    </r>
    <r>
      <rPr>
        <vertAlign val="subscript"/>
        <sz val="11"/>
        <color theme="1"/>
        <rFont val="Arial"/>
        <family val="2"/>
      </rPr>
      <t>FB2recommended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</si>
  <si>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</si>
  <si>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t>Enter Actual R</t>
    </r>
    <r>
      <rPr>
        <vertAlign val="subscript"/>
        <sz val="11"/>
        <rFont val="Arial"/>
        <family val="2"/>
      </rPr>
      <t>LC</t>
    </r>
    <r>
      <rPr>
        <sz val="11"/>
        <rFont val="Arial"/>
        <family val="2"/>
      </rPr>
      <t xml:space="preserve"> Used</t>
    </r>
  </si>
  <si>
    <r>
      <t>Recommended R</t>
    </r>
    <r>
      <rPr>
        <vertAlign val="subscript"/>
        <sz val="11"/>
        <color theme="1"/>
        <rFont val="Arial"/>
        <family val="2"/>
      </rPr>
      <t>FB2</t>
    </r>
  </si>
  <si>
    <r>
      <t>R</t>
    </r>
    <r>
      <rPr>
        <vertAlign val="subscript"/>
        <sz val="11"/>
        <color theme="1"/>
        <rFont val="Arial"/>
        <family val="2"/>
      </rPr>
      <t>FB2actual</t>
    </r>
    <r>
      <rPr>
        <sz val="11"/>
        <color theme="1"/>
        <rFont val="Arial"/>
        <family val="2"/>
      </rPr>
      <t xml:space="preserve"> =</t>
    </r>
  </si>
  <si>
    <r>
      <t>Enter Actual R</t>
    </r>
    <r>
      <rPr>
        <vertAlign val="subscript"/>
        <sz val="11"/>
        <color theme="1"/>
        <rFont val="Arial"/>
        <family val="2"/>
      </rPr>
      <t>FB2</t>
    </r>
    <r>
      <rPr>
        <sz val="11"/>
        <color theme="1"/>
        <rFont val="Arial"/>
        <family val="2"/>
      </rPr>
      <t xml:space="preserve"> Used</t>
    </r>
  </si>
  <si>
    <r>
      <rPr>
        <b/>
        <sz val="11"/>
        <color theme="1"/>
        <rFont val="Arial"/>
        <family val="2"/>
      </rPr>
      <t>Actual</t>
    </r>
    <r>
      <rPr>
        <sz val="11"/>
        <color theme="1"/>
        <rFont val="Arial"/>
        <family val="2"/>
      </rPr>
      <t xml:space="preserve"> ESR of C</t>
    </r>
    <r>
      <rPr>
        <vertAlign val="subscript"/>
        <sz val="11"/>
        <color theme="1"/>
        <rFont val="Arial"/>
        <family val="2"/>
      </rPr>
      <t>OUT</t>
    </r>
    <r>
      <rPr>
        <sz val="11"/>
        <color theme="1"/>
        <rFont val="Arial"/>
        <family val="2"/>
      </rPr>
      <t xml:space="preserve"> Used, ESR</t>
    </r>
    <r>
      <rPr>
        <vertAlign val="subscript"/>
        <sz val="11"/>
        <color theme="1"/>
        <rFont val="Arial"/>
        <family val="2"/>
      </rPr>
      <t>Cout</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</si>
  <si>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</si>
  <si>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rPr>
        <sz val="11"/>
        <rFont val="Arial"/>
        <family val="2"/>
      </rPr>
      <t>R</t>
    </r>
    <r>
      <rPr>
        <vertAlign val="subscript"/>
        <sz val="11"/>
        <rFont val="Arial"/>
        <family val="2"/>
      </rPr>
      <t>FB2</t>
    </r>
    <r>
      <rPr>
        <sz val="11"/>
        <rFont val="Arial"/>
        <family val="2"/>
      </rPr>
      <t xml:space="preserve"> Used in Calculations</t>
    </r>
  </si>
  <si>
    <r>
      <rPr>
        <b/>
        <sz val="11"/>
        <rFont val="Arial"/>
        <family val="2"/>
      </rPr>
      <t>Recommended</t>
    </r>
    <r>
      <rPr>
        <sz val="11"/>
        <rFont val="Arial"/>
        <family val="2"/>
      </rPr>
      <t xml:space="preserve"> Bottom Resistor Value for Output Voltage Set Point</t>
    </r>
  </si>
  <si>
    <r>
      <t>Actual</t>
    </r>
    <r>
      <rPr>
        <sz val="11"/>
        <rFont val="Arial"/>
        <family val="2"/>
      </rPr>
      <t xml:space="preserve"> Bottom Resistor Value Used for Output Voltage Set Point</t>
    </r>
  </si>
  <si>
    <r>
      <t>I</t>
    </r>
    <r>
      <rPr>
        <b/>
        <vertAlign val="subscript"/>
        <sz val="11"/>
        <color theme="1"/>
        <rFont val="Arial"/>
        <family val="2"/>
      </rPr>
      <t>OCC_actual</t>
    </r>
    <r>
      <rPr>
        <b/>
        <sz val="11"/>
        <color theme="1"/>
        <rFont val="Arial"/>
        <family val="2"/>
      </rPr>
      <t xml:space="preserve"> =</t>
    </r>
  </si>
  <si>
    <r>
      <t>I</t>
    </r>
    <r>
      <rPr>
        <b/>
        <vertAlign val="subscript"/>
        <sz val="11"/>
        <color theme="1"/>
        <rFont val="Arial"/>
        <family val="2"/>
      </rPr>
      <t>PPnom</t>
    </r>
    <r>
      <rPr>
        <b/>
        <sz val="11"/>
        <color theme="1"/>
        <rFont val="Arial"/>
        <family val="2"/>
      </rPr>
      <t xml:space="preserve"> =</t>
    </r>
  </si>
  <si>
    <r>
      <t>V</t>
    </r>
    <r>
      <rPr>
        <b/>
        <vertAlign val="subscript"/>
        <sz val="11"/>
        <color theme="1"/>
        <rFont val="Arial"/>
        <family val="2"/>
      </rPr>
      <t>OUT_CCmin</t>
    </r>
    <r>
      <rPr>
        <b/>
        <sz val="11"/>
        <color theme="1"/>
        <rFont val="Arial"/>
        <family val="2"/>
      </rPr>
      <t xml:space="preserve"> =</t>
    </r>
  </si>
  <si>
    <r>
      <t>V</t>
    </r>
    <r>
      <rPr>
        <b/>
        <vertAlign val="subscript"/>
        <sz val="11"/>
        <rFont val="Arial"/>
        <family val="2"/>
      </rPr>
      <t>OUTripple</t>
    </r>
    <r>
      <rPr>
        <b/>
        <sz val="11"/>
        <rFont val="Arial"/>
        <family val="2"/>
      </rPr>
      <t xml:space="preserve"> =</t>
    </r>
  </si>
  <si>
    <r>
      <t>V</t>
    </r>
    <r>
      <rPr>
        <b/>
        <vertAlign val="subscript"/>
        <sz val="11"/>
        <color theme="1"/>
        <rFont val="Arial"/>
        <family val="2"/>
      </rPr>
      <t>TURNONnom</t>
    </r>
    <r>
      <rPr>
        <b/>
        <sz val="11"/>
        <color theme="1"/>
        <rFont val="Arial"/>
        <family val="2"/>
      </rPr>
      <t xml:space="preserve"> =</t>
    </r>
  </si>
  <si>
    <r>
      <t>V</t>
    </r>
    <r>
      <rPr>
        <b/>
        <vertAlign val="subscript"/>
        <sz val="11"/>
        <color theme="1"/>
        <rFont val="Arial"/>
        <family val="2"/>
      </rPr>
      <t>BROWNOUTnom</t>
    </r>
    <r>
      <rPr>
        <b/>
        <sz val="11"/>
        <color theme="1"/>
        <rFont val="Arial"/>
        <family val="2"/>
      </rPr>
      <t xml:space="preserve"> =</t>
    </r>
  </si>
  <si>
    <r>
      <t>V</t>
    </r>
    <r>
      <rPr>
        <b/>
        <vertAlign val="subscript"/>
        <sz val="11"/>
        <color theme="1"/>
        <rFont val="Arial"/>
        <family val="2"/>
      </rPr>
      <t>OUT_OVPnom</t>
    </r>
    <r>
      <rPr>
        <b/>
        <sz val="11"/>
        <color theme="1"/>
        <rFont val="Arial"/>
        <family val="2"/>
      </rPr>
      <t xml:space="preserve"> =</t>
    </r>
  </si>
  <si>
    <r>
      <t>Result of R</t>
    </r>
    <r>
      <rPr>
        <b/>
        <vertAlign val="subscript"/>
        <sz val="11"/>
        <rFont val="Arial"/>
        <family val="2"/>
      </rPr>
      <t>LC</t>
    </r>
    <r>
      <rPr>
        <b/>
        <sz val="11"/>
        <rFont val="Arial"/>
        <family val="2"/>
      </rPr>
      <t xml:space="preserve"> selection</t>
    </r>
  </si>
  <si>
    <r>
      <t>R</t>
    </r>
    <r>
      <rPr>
        <vertAlign val="subscript"/>
        <sz val="11"/>
        <color theme="1"/>
        <rFont val="Arial"/>
        <family val="2"/>
      </rPr>
      <t>FB1recommended</t>
    </r>
    <r>
      <rPr>
        <sz val="11"/>
        <color theme="1"/>
        <rFont val="Arial"/>
        <family val="2"/>
      </rPr>
      <t xml:space="preserve"> =</t>
    </r>
  </si>
  <si>
    <r>
      <rPr>
        <b/>
        <sz val="11"/>
        <rFont val="Arial"/>
        <family val="2"/>
      </rPr>
      <t>Recommended</t>
    </r>
    <r>
      <rPr>
        <sz val="11"/>
        <rFont val="Arial"/>
        <family val="2"/>
      </rPr>
      <t xml:space="preserve"> Top Resistor Value for Output Voltage Set Point</t>
    </r>
  </si>
  <si>
    <r>
      <t>R</t>
    </r>
    <r>
      <rPr>
        <vertAlign val="subscript"/>
        <sz val="11"/>
        <color theme="1"/>
        <rFont val="Arial"/>
        <family val="2"/>
      </rPr>
      <t>FB1</t>
    </r>
    <r>
      <rPr>
        <sz val="11"/>
        <color theme="1"/>
        <rFont val="Arial"/>
        <family val="2"/>
      </rPr>
      <t>:</t>
    </r>
  </si>
  <si>
    <r>
      <t>R</t>
    </r>
    <r>
      <rPr>
        <vertAlign val="subscript"/>
        <sz val="11"/>
        <color theme="1"/>
        <rFont val="Arial"/>
        <family val="2"/>
      </rPr>
      <t>FB1actual</t>
    </r>
    <r>
      <rPr>
        <sz val="11"/>
        <color theme="1"/>
        <rFont val="Arial"/>
        <family val="2"/>
      </rPr>
      <t xml:space="preserve"> =</t>
    </r>
  </si>
  <si>
    <r>
      <rPr>
        <b/>
        <sz val="11"/>
        <rFont val="Arial"/>
        <family val="2"/>
      </rPr>
      <t>Actual</t>
    </r>
    <r>
      <rPr>
        <sz val="11"/>
        <rFont val="Arial"/>
        <family val="2"/>
      </rPr>
      <t xml:space="preserve"> Top Resistor Value Used for Output Voltage Set Point</t>
    </r>
  </si>
  <si>
    <r>
      <rPr>
        <b/>
        <sz val="11"/>
        <color theme="1"/>
        <rFont val="Arial"/>
        <family val="2"/>
      </rPr>
      <t>Recommended</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</si>
  <si>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</si>
  <si>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t>Recommended R</t>
    </r>
    <r>
      <rPr>
        <vertAlign val="subscript"/>
        <sz val="11"/>
        <color theme="1"/>
        <rFont val="Arial"/>
        <family val="2"/>
      </rPr>
      <t>FB1</t>
    </r>
  </si>
  <si>
    <r>
      <t>Enter Actual R</t>
    </r>
    <r>
      <rPr>
        <vertAlign val="subscript"/>
        <sz val="11"/>
        <color theme="1"/>
        <rFont val="Arial"/>
        <family val="2"/>
      </rPr>
      <t>FB1</t>
    </r>
    <r>
      <rPr>
        <sz val="11"/>
        <color theme="1"/>
        <rFont val="Arial"/>
        <family val="2"/>
      </rPr>
      <t xml:space="preserve"> Used</t>
    </r>
  </si>
  <si>
    <r>
      <t>R</t>
    </r>
    <r>
      <rPr>
        <vertAlign val="subscript"/>
        <sz val="11"/>
        <rFont val="Arial"/>
        <family val="2"/>
      </rPr>
      <t>FB1</t>
    </r>
    <r>
      <rPr>
        <sz val="11"/>
        <rFont val="Arial"/>
        <family val="2"/>
      </rPr>
      <t xml:space="preserve"> Used in Calculations</t>
    </r>
  </si>
  <si>
    <r>
      <t>R</t>
    </r>
    <r>
      <rPr>
        <vertAlign val="subscript"/>
        <sz val="11"/>
        <color theme="1"/>
        <rFont val="Arial"/>
        <family val="2"/>
      </rPr>
      <t>FB1</t>
    </r>
    <r>
      <rPr>
        <sz val="11"/>
        <color theme="1"/>
        <rFont val="Arial"/>
        <family val="2"/>
      </rPr>
      <t xml:space="preserve"> =</t>
    </r>
  </si>
  <si>
    <t>Resultant Nominal Constant Voltage Output Voltage</t>
  </si>
  <si>
    <r>
      <t>Enter Nominal V</t>
    </r>
    <r>
      <rPr>
        <vertAlign val="subscript"/>
        <sz val="11"/>
        <rFont val="Arial"/>
        <family val="2"/>
      </rPr>
      <t>REF</t>
    </r>
    <r>
      <rPr>
        <sz val="11"/>
        <rFont val="Arial"/>
        <family val="2"/>
      </rPr>
      <t xml:space="preserve"> Used</t>
    </r>
  </si>
  <si>
    <t>Enter Reference Pin Input Current</t>
  </si>
  <si>
    <r>
      <rPr>
        <sz val="11"/>
        <rFont val="Calibri"/>
        <family val="2"/>
      </rPr>
      <t>µ</t>
    </r>
    <r>
      <rPr>
        <sz val="11"/>
        <rFont val="Arial"/>
        <family val="2"/>
      </rPr>
      <t>A</t>
    </r>
  </si>
  <si>
    <r>
      <t>V</t>
    </r>
    <r>
      <rPr>
        <b/>
        <vertAlign val="subscript"/>
        <sz val="11"/>
        <color theme="1"/>
        <rFont val="Arial"/>
        <family val="2"/>
      </rPr>
      <t>OUT_CV</t>
    </r>
    <r>
      <rPr>
        <b/>
        <sz val="11"/>
        <color theme="1"/>
        <rFont val="Arial"/>
        <family val="2"/>
      </rPr>
      <t xml:space="preserve"> =</t>
    </r>
  </si>
  <si>
    <r>
      <t>Minimum Current Transfer  Ratio of Selected Opto-Coupler, CTR</t>
    </r>
    <r>
      <rPr>
        <vertAlign val="subscript"/>
        <sz val="11"/>
        <color theme="1"/>
        <rFont val="Arial"/>
        <family val="2"/>
      </rPr>
      <t>min</t>
    </r>
    <r>
      <rPr>
        <sz val="11"/>
        <color theme="1"/>
        <rFont val="Arial"/>
        <family val="2"/>
      </rPr>
      <t xml:space="preserve"> =</t>
    </r>
  </si>
  <si>
    <r>
      <t>Enter CTR</t>
    </r>
    <r>
      <rPr>
        <vertAlign val="subscript"/>
        <sz val="11"/>
        <color theme="1"/>
        <rFont val="Arial"/>
        <family val="2"/>
      </rPr>
      <t>min</t>
    </r>
  </si>
  <si>
    <r>
      <rPr>
        <sz val="11"/>
        <color theme="1"/>
        <rFont val="Calibri"/>
        <family val="2"/>
      </rPr>
      <t>µ</t>
    </r>
    <r>
      <rPr>
        <sz val="11"/>
        <color theme="1"/>
        <rFont val="Arial"/>
        <family val="2"/>
      </rPr>
      <t>s</t>
    </r>
  </si>
  <si>
    <t>%</t>
  </si>
  <si>
    <r>
      <t>Enter Opto-Coupler t</t>
    </r>
    <r>
      <rPr>
        <vertAlign val="subscript"/>
        <sz val="11"/>
        <color theme="1"/>
        <rFont val="Arial"/>
        <family val="2"/>
      </rPr>
      <t>f</t>
    </r>
  </si>
  <si>
    <r>
      <t>Enter R</t>
    </r>
    <r>
      <rPr>
        <vertAlign val="subscript"/>
        <sz val="11"/>
        <color theme="1"/>
        <rFont val="Arial"/>
        <family val="2"/>
      </rPr>
      <t>L</t>
    </r>
    <r>
      <rPr>
        <sz val="11"/>
        <color theme="1"/>
        <rFont val="Arial"/>
        <family val="2"/>
      </rPr>
      <t xml:space="preserve"> from Opto-Coupler t</t>
    </r>
    <r>
      <rPr>
        <vertAlign val="subscript"/>
        <sz val="11"/>
        <color theme="1"/>
        <rFont val="Arial"/>
        <family val="2"/>
      </rPr>
      <t>f</t>
    </r>
    <r>
      <rPr>
        <sz val="11"/>
        <color theme="1"/>
        <rFont val="Arial"/>
        <family val="2"/>
      </rPr>
      <t xml:space="preserve"> spec</t>
    </r>
  </si>
  <si>
    <r>
      <t>Cut-Off Frequency of Opto-Coupler, f</t>
    </r>
    <r>
      <rPr>
        <vertAlign val="subscript"/>
        <sz val="11"/>
        <color theme="1"/>
        <rFont val="Arial"/>
        <family val="2"/>
      </rPr>
      <t>c_opto</t>
    </r>
    <r>
      <rPr>
        <sz val="11"/>
        <color theme="1"/>
        <rFont val="Arial"/>
        <family val="2"/>
      </rPr>
      <t xml:space="preserve"> =</t>
    </r>
  </si>
  <si>
    <r>
      <t>R</t>
    </r>
    <r>
      <rPr>
        <vertAlign val="subscript"/>
        <sz val="11"/>
        <color theme="1"/>
        <rFont val="Arial"/>
        <family val="2"/>
      </rPr>
      <t>L</t>
    </r>
    <r>
      <rPr>
        <sz val="11"/>
        <color theme="1"/>
        <rFont val="Arial"/>
        <family val="2"/>
      </rPr>
      <t xml:space="preserve"> of Specified Opto-Coupler Fall Time, R</t>
    </r>
    <r>
      <rPr>
        <vertAlign val="subscript"/>
        <sz val="11"/>
        <color theme="1"/>
        <rFont val="Arial"/>
        <family val="2"/>
      </rPr>
      <t>L_opto</t>
    </r>
    <r>
      <rPr>
        <sz val="11"/>
        <color theme="1"/>
        <rFont val="Arial"/>
        <family val="2"/>
      </rPr>
      <t xml:space="preserve"> =</t>
    </r>
  </si>
  <si>
    <r>
      <t>Response Fall Time of Opto-Coupler, t</t>
    </r>
    <r>
      <rPr>
        <vertAlign val="subscript"/>
        <sz val="11"/>
        <color theme="1"/>
        <rFont val="Arial"/>
        <family val="2"/>
      </rPr>
      <t>f_opto</t>
    </r>
    <r>
      <rPr>
        <sz val="11"/>
        <color theme="1"/>
        <rFont val="Arial"/>
        <family val="2"/>
      </rPr>
      <t xml:space="preserve"> =</t>
    </r>
  </si>
  <si>
    <r>
      <t>Input Forward Voltage of Opto-Coupler, V</t>
    </r>
    <r>
      <rPr>
        <vertAlign val="subscript"/>
        <sz val="11"/>
        <color theme="1"/>
        <rFont val="Arial"/>
        <family val="2"/>
      </rPr>
      <t>F_opto</t>
    </r>
    <r>
      <rPr>
        <sz val="11"/>
        <color theme="1"/>
        <rFont val="Arial"/>
        <family val="2"/>
      </rPr>
      <t xml:space="preserve"> =</t>
    </r>
  </si>
  <si>
    <t>Enter Opto-Coupler Cut-Off Frequency</t>
  </si>
  <si>
    <r>
      <t>Enter Maximum V</t>
    </r>
    <r>
      <rPr>
        <vertAlign val="subscript"/>
        <sz val="11"/>
        <color theme="1"/>
        <rFont val="Arial"/>
        <family val="2"/>
      </rPr>
      <t>F</t>
    </r>
    <r>
      <rPr>
        <sz val="11"/>
        <color theme="1"/>
        <rFont val="Arial"/>
        <family val="2"/>
      </rPr>
      <t xml:space="preserve"> of Opto-Coupler</t>
    </r>
  </si>
  <si>
    <t>Minimum Current Transfer  Ratio of Selected Opto-Coupler</t>
  </si>
  <si>
    <t>Response Fall Time of Opto-Coupler</t>
  </si>
  <si>
    <r>
      <t>R</t>
    </r>
    <r>
      <rPr>
        <vertAlign val="subscript"/>
        <sz val="11"/>
        <color theme="1"/>
        <rFont val="Arial"/>
        <family val="2"/>
      </rPr>
      <t>L</t>
    </r>
    <r>
      <rPr>
        <sz val="11"/>
        <color theme="1"/>
        <rFont val="Arial"/>
        <family val="2"/>
      </rPr>
      <t xml:space="preserve"> of Specified Opto-Coupler Fall Time</t>
    </r>
  </si>
  <si>
    <t>Cut-Off Frequency of Opto-Coupler</t>
  </si>
  <si>
    <t>Input Forward Voltage of Opto-Coupler</t>
  </si>
  <si>
    <r>
      <t>CTR</t>
    </r>
    <r>
      <rPr>
        <vertAlign val="subscript"/>
        <sz val="11"/>
        <color theme="1"/>
        <rFont val="Arial"/>
        <family val="2"/>
      </rPr>
      <t>min</t>
    </r>
    <r>
      <rPr>
        <sz val="11"/>
        <color theme="1"/>
        <rFont val="Arial"/>
        <family val="2"/>
      </rPr>
      <t xml:space="preserve"> =</t>
    </r>
  </si>
  <si>
    <r>
      <t>t</t>
    </r>
    <r>
      <rPr>
        <vertAlign val="subscript"/>
        <sz val="11"/>
        <rFont val="Arial"/>
        <family val="2"/>
      </rPr>
      <t>f_opto</t>
    </r>
    <r>
      <rPr>
        <sz val="11"/>
        <rFont val="Arial"/>
        <family val="2"/>
      </rPr>
      <t xml:space="preserve"> =</t>
    </r>
  </si>
  <si>
    <r>
      <t>R</t>
    </r>
    <r>
      <rPr>
        <vertAlign val="subscript"/>
        <sz val="11"/>
        <rFont val="Arial"/>
        <family val="2"/>
      </rPr>
      <t>L_opto</t>
    </r>
    <r>
      <rPr>
        <sz val="11"/>
        <rFont val="Arial"/>
        <family val="2"/>
      </rPr>
      <t xml:space="preserve"> =</t>
    </r>
  </si>
  <si>
    <r>
      <t>f</t>
    </r>
    <r>
      <rPr>
        <vertAlign val="subscript"/>
        <sz val="11"/>
        <color theme="1"/>
        <rFont val="Arial"/>
        <family val="2"/>
      </rPr>
      <t>c_opto</t>
    </r>
    <r>
      <rPr>
        <sz val="11"/>
        <color theme="1"/>
        <rFont val="Arial"/>
        <family val="2"/>
      </rPr>
      <t xml:space="preserve"> =</t>
    </r>
  </si>
  <si>
    <r>
      <t>V</t>
    </r>
    <r>
      <rPr>
        <vertAlign val="subscript"/>
        <sz val="11"/>
        <color theme="1"/>
        <rFont val="Arial"/>
        <family val="2"/>
      </rPr>
      <t>F_opto</t>
    </r>
    <r>
      <rPr>
        <sz val="11"/>
        <color theme="1"/>
        <rFont val="Arial"/>
        <family val="2"/>
      </rPr>
      <t xml:space="preserve"> =</t>
    </r>
  </si>
  <si>
    <r>
      <t>Loop Compensation Components, R</t>
    </r>
    <r>
      <rPr>
        <b/>
        <vertAlign val="subscript"/>
        <sz val="11"/>
        <color theme="0"/>
        <rFont val="Arial"/>
        <family val="2"/>
      </rPr>
      <t>FB1</t>
    </r>
    <r>
      <rPr>
        <b/>
        <sz val="11"/>
        <color theme="0"/>
        <rFont val="Arial"/>
        <family val="2"/>
      </rPr>
      <t>, R</t>
    </r>
    <r>
      <rPr>
        <b/>
        <vertAlign val="subscript"/>
        <sz val="11"/>
        <color theme="0"/>
        <rFont val="Arial"/>
        <family val="2"/>
      </rPr>
      <t>FB2</t>
    </r>
    <r>
      <rPr>
        <b/>
        <sz val="11"/>
        <color theme="0"/>
        <rFont val="Arial"/>
        <family val="2"/>
      </rPr>
      <t>, R</t>
    </r>
    <r>
      <rPr>
        <b/>
        <vertAlign val="subscript"/>
        <sz val="11"/>
        <color theme="0"/>
        <rFont val="Arial"/>
        <family val="2"/>
      </rPr>
      <t>TL</t>
    </r>
    <r>
      <rPr>
        <b/>
        <sz val="11"/>
        <color theme="0"/>
        <rFont val="Arial"/>
        <family val="2"/>
      </rPr>
      <t>, R</t>
    </r>
    <r>
      <rPr>
        <b/>
        <vertAlign val="subscript"/>
        <sz val="11"/>
        <color theme="0"/>
        <rFont val="Arial"/>
        <family val="2"/>
      </rPr>
      <t>OPT</t>
    </r>
    <r>
      <rPr>
        <b/>
        <sz val="11"/>
        <color theme="0"/>
        <rFont val="Arial"/>
        <family val="2"/>
      </rPr>
      <t>, C</t>
    </r>
    <r>
      <rPr>
        <b/>
        <vertAlign val="subscript"/>
        <sz val="11"/>
        <color theme="0"/>
        <rFont val="Arial"/>
        <family val="2"/>
      </rPr>
      <t>FB</t>
    </r>
    <r>
      <rPr>
        <b/>
        <sz val="11"/>
        <color theme="0"/>
        <rFont val="Arial"/>
        <family val="2"/>
      </rPr>
      <t>, C</t>
    </r>
    <r>
      <rPr>
        <b/>
        <vertAlign val="subscript"/>
        <sz val="11"/>
        <color theme="0"/>
        <rFont val="Arial"/>
        <family val="2"/>
      </rPr>
      <t>EXT</t>
    </r>
    <r>
      <rPr>
        <b/>
        <sz val="11"/>
        <color theme="0"/>
        <rFont val="Arial"/>
        <family val="2"/>
      </rPr>
      <t>, R</t>
    </r>
    <r>
      <rPr>
        <b/>
        <vertAlign val="subscript"/>
        <sz val="11"/>
        <color theme="0"/>
        <rFont val="Arial"/>
        <family val="2"/>
      </rPr>
      <t>FB3</t>
    </r>
    <r>
      <rPr>
        <b/>
        <sz val="11"/>
        <color theme="0"/>
        <rFont val="Arial"/>
        <family val="2"/>
      </rPr>
      <t>, R</t>
    </r>
    <r>
      <rPr>
        <b/>
        <vertAlign val="subscript"/>
        <sz val="11"/>
        <color theme="0"/>
        <rFont val="Arial"/>
        <family val="2"/>
      </rPr>
      <t xml:space="preserve">FB4, </t>
    </r>
    <r>
      <rPr>
        <b/>
        <sz val="11"/>
        <color theme="0"/>
        <rFont val="Arial"/>
        <family val="2"/>
      </rPr>
      <t>C</t>
    </r>
    <r>
      <rPr>
        <b/>
        <vertAlign val="subscript"/>
        <sz val="11"/>
        <color theme="0"/>
        <rFont val="Arial"/>
        <family val="2"/>
      </rPr>
      <t>Z</t>
    </r>
  </si>
  <si>
    <t>Equivalent Opto-Coupler Output Capacitance</t>
  </si>
  <si>
    <r>
      <t>C</t>
    </r>
    <r>
      <rPr>
        <vertAlign val="subscript"/>
        <sz val="11"/>
        <color theme="1"/>
        <rFont val="Arial"/>
        <family val="2"/>
      </rPr>
      <t>OPTO</t>
    </r>
    <r>
      <rPr>
        <sz val="11"/>
        <color theme="1"/>
        <rFont val="Arial"/>
        <family val="2"/>
      </rPr>
      <t xml:space="preserve"> =</t>
    </r>
  </si>
  <si>
    <t>nF factor</t>
  </si>
  <si>
    <t>nF</t>
  </si>
  <si>
    <t>Equivalent Internal UCC28740 Dynamic Reistance</t>
  </si>
  <si>
    <r>
      <t>R</t>
    </r>
    <r>
      <rPr>
        <vertAlign val="subscript"/>
        <sz val="11"/>
        <color theme="1"/>
        <rFont val="Arial"/>
        <family val="2"/>
      </rPr>
      <t>EQU</t>
    </r>
    <r>
      <rPr>
        <sz val="11"/>
        <color theme="1"/>
        <rFont val="Arial"/>
        <family val="2"/>
      </rPr>
      <t xml:space="preserve"> =</t>
    </r>
  </si>
  <si>
    <r>
      <t>Recommended C</t>
    </r>
    <r>
      <rPr>
        <vertAlign val="subscript"/>
        <sz val="11"/>
        <color theme="1"/>
        <rFont val="Arial"/>
        <family val="2"/>
      </rPr>
      <t>EXT</t>
    </r>
  </si>
  <si>
    <r>
      <rPr>
        <b/>
        <sz val="11"/>
        <color theme="1"/>
        <rFont val="Arial"/>
        <family val="2"/>
      </rPr>
      <t>Recommended</t>
    </r>
    <r>
      <rPr>
        <sz val="11"/>
        <color theme="1"/>
        <rFont val="Arial"/>
        <family val="2"/>
      </rPr>
      <t xml:space="preserve"> External Capacitor Across Opto-Coupler Output, C</t>
    </r>
    <r>
      <rPr>
        <vertAlign val="subscript"/>
        <sz val="11"/>
        <color theme="1"/>
        <rFont val="Arial"/>
        <family val="2"/>
      </rPr>
      <t>EXT</t>
    </r>
    <r>
      <rPr>
        <sz val="11"/>
        <color theme="1"/>
        <rFont val="Arial"/>
        <family val="2"/>
      </rPr>
      <t xml:space="preserve"> =</t>
    </r>
  </si>
  <si>
    <r>
      <rPr>
        <b/>
        <sz val="11"/>
        <color theme="1"/>
        <rFont val="Arial"/>
        <family val="2"/>
      </rPr>
      <t>Actual</t>
    </r>
    <r>
      <rPr>
        <sz val="11"/>
        <color theme="1"/>
        <rFont val="Arial"/>
        <family val="2"/>
      </rPr>
      <t xml:space="preserve"> Value for C</t>
    </r>
    <r>
      <rPr>
        <vertAlign val="subscript"/>
        <sz val="11"/>
        <color theme="1"/>
        <rFont val="Arial"/>
        <family val="2"/>
      </rPr>
      <t>EXT</t>
    </r>
    <r>
      <rPr>
        <sz val="11"/>
        <color theme="1"/>
        <rFont val="Arial"/>
        <family val="2"/>
      </rPr>
      <t xml:space="preserve"> Used , C</t>
    </r>
    <r>
      <rPr>
        <vertAlign val="subscript"/>
        <sz val="11"/>
        <color theme="1"/>
        <rFont val="Arial"/>
        <family val="2"/>
      </rPr>
      <t>EXT</t>
    </r>
    <r>
      <rPr>
        <sz val="11"/>
        <color theme="1"/>
        <rFont val="Arial"/>
        <family val="2"/>
      </rPr>
      <t xml:space="preserve"> =</t>
    </r>
  </si>
  <si>
    <r>
      <t>Enter Actual C</t>
    </r>
    <r>
      <rPr>
        <vertAlign val="subscript"/>
        <sz val="11"/>
        <color theme="1"/>
        <rFont val="Arial"/>
        <family val="2"/>
      </rPr>
      <t>EXT</t>
    </r>
    <r>
      <rPr>
        <sz val="11"/>
        <color theme="1"/>
        <rFont val="Arial"/>
        <family val="2"/>
      </rPr>
      <t xml:space="preserve"> Used</t>
    </r>
  </si>
  <si>
    <r>
      <t>C</t>
    </r>
    <r>
      <rPr>
        <vertAlign val="subscript"/>
        <sz val="11"/>
        <color theme="1"/>
        <rFont val="Arial"/>
        <family val="2"/>
      </rPr>
      <t>EXTrecommended</t>
    </r>
    <r>
      <rPr>
        <sz val="11"/>
        <color theme="1"/>
        <rFont val="Arial"/>
        <family val="2"/>
      </rPr>
      <t xml:space="preserve"> =</t>
    </r>
  </si>
  <si>
    <r>
      <rPr>
        <b/>
        <sz val="11"/>
        <color theme="1"/>
        <rFont val="Arial"/>
        <family val="2"/>
      </rPr>
      <t>Recommended</t>
    </r>
    <r>
      <rPr>
        <sz val="11"/>
        <color theme="1"/>
        <rFont val="Arial"/>
        <family val="2"/>
      </rPr>
      <t xml:space="preserve"> Value for External Capacitor on Opto-Coupler</t>
    </r>
  </si>
  <si>
    <r>
      <t>C</t>
    </r>
    <r>
      <rPr>
        <vertAlign val="subscript"/>
        <sz val="11"/>
        <color theme="1"/>
        <rFont val="Arial"/>
        <family val="2"/>
      </rPr>
      <t>EXTactual</t>
    </r>
    <r>
      <rPr>
        <sz val="11"/>
        <color theme="1"/>
        <rFont val="Arial"/>
        <family val="2"/>
      </rPr>
      <t xml:space="preserve"> =</t>
    </r>
  </si>
  <si>
    <r>
      <rPr>
        <b/>
        <sz val="11"/>
        <color theme="1"/>
        <rFont val="Arial"/>
        <family val="2"/>
      </rPr>
      <t>Actual</t>
    </r>
    <r>
      <rPr>
        <sz val="11"/>
        <color theme="1"/>
        <rFont val="Arial"/>
        <family val="2"/>
      </rPr>
      <t xml:space="preserve"> Value of External Capacitor on Opto-Coupler Used</t>
    </r>
  </si>
  <si>
    <r>
      <t>C</t>
    </r>
    <r>
      <rPr>
        <vertAlign val="subscript"/>
        <sz val="11"/>
        <color theme="1"/>
        <rFont val="Arial"/>
        <family val="2"/>
      </rPr>
      <t>EXT</t>
    </r>
    <r>
      <rPr>
        <sz val="11"/>
        <color theme="1"/>
        <rFont val="Arial"/>
        <family val="2"/>
      </rPr>
      <t xml:space="preserve"> Used in Calculations</t>
    </r>
  </si>
  <si>
    <r>
      <t>C</t>
    </r>
    <r>
      <rPr>
        <vertAlign val="subscript"/>
        <sz val="11"/>
        <color theme="1"/>
        <rFont val="Arial"/>
        <family val="2"/>
      </rPr>
      <t>EXT</t>
    </r>
    <r>
      <rPr>
        <sz val="11"/>
        <color theme="1"/>
        <rFont val="Arial"/>
        <family val="2"/>
      </rPr>
      <t xml:space="preserve"> =</t>
    </r>
  </si>
  <si>
    <r>
      <t>Recommended C</t>
    </r>
    <r>
      <rPr>
        <vertAlign val="subscript"/>
        <sz val="11"/>
        <color theme="1"/>
        <rFont val="Arial"/>
        <family val="2"/>
      </rPr>
      <t>FB</t>
    </r>
  </si>
  <si>
    <r>
      <rPr>
        <b/>
        <sz val="11"/>
        <color theme="1"/>
        <rFont val="Arial"/>
        <family val="2"/>
      </rPr>
      <t>Recommended</t>
    </r>
    <r>
      <rPr>
        <sz val="11"/>
        <color theme="1"/>
        <rFont val="Arial"/>
        <family val="2"/>
      </rPr>
      <t xml:space="preserve"> C</t>
    </r>
    <r>
      <rPr>
        <vertAlign val="subscript"/>
        <sz val="11"/>
        <color theme="1"/>
        <rFont val="Arial"/>
        <family val="2"/>
      </rPr>
      <t>FB</t>
    </r>
  </si>
  <si>
    <r>
      <t>C</t>
    </r>
    <r>
      <rPr>
        <vertAlign val="subscript"/>
        <sz val="11"/>
        <color theme="1"/>
        <rFont val="Arial"/>
        <family val="2"/>
      </rPr>
      <t>FBrecommended</t>
    </r>
    <r>
      <rPr>
        <sz val="11"/>
        <color theme="1"/>
        <rFont val="Arial"/>
        <family val="2"/>
      </rPr>
      <t xml:space="preserve"> =</t>
    </r>
  </si>
  <si>
    <t>Loop Compensation Calculations:</t>
  </si>
  <si>
    <r>
      <t>C</t>
    </r>
    <r>
      <rPr>
        <vertAlign val="subscript"/>
        <sz val="11"/>
        <color theme="1"/>
        <rFont val="Arial"/>
        <family val="2"/>
      </rPr>
      <t>FB</t>
    </r>
    <r>
      <rPr>
        <sz val="11"/>
        <color theme="1"/>
        <rFont val="Arial"/>
        <family val="2"/>
      </rPr>
      <t>:</t>
    </r>
  </si>
  <si>
    <r>
      <rPr>
        <b/>
        <sz val="11"/>
        <color theme="1"/>
        <rFont val="Arial"/>
        <family val="2"/>
      </rPr>
      <t>Actual</t>
    </r>
    <r>
      <rPr>
        <sz val="11"/>
        <color theme="1"/>
        <rFont val="Arial"/>
        <family val="2"/>
      </rPr>
      <t xml:space="preserve"> C</t>
    </r>
    <r>
      <rPr>
        <vertAlign val="subscript"/>
        <sz val="11"/>
        <color theme="1"/>
        <rFont val="Arial"/>
        <family val="2"/>
      </rPr>
      <t>FB</t>
    </r>
    <r>
      <rPr>
        <sz val="11"/>
        <color theme="1"/>
        <rFont val="Arial"/>
        <family val="2"/>
      </rPr>
      <t xml:space="preserve"> Used</t>
    </r>
  </si>
  <si>
    <r>
      <t>C</t>
    </r>
    <r>
      <rPr>
        <vertAlign val="subscript"/>
        <sz val="11"/>
        <color theme="1"/>
        <rFont val="Arial"/>
        <family val="2"/>
      </rPr>
      <t>FBactual</t>
    </r>
    <r>
      <rPr>
        <sz val="11"/>
        <color theme="1"/>
        <rFont val="Arial"/>
        <family val="2"/>
      </rPr>
      <t xml:space="preserve"> =</t>
    </r>
  </si>
  <si>
    <r>
      <rPr>
        <b/>
        <sz val="11"/>
        <color theme="1"/>
        <rFont val="Arial"/>
        <family val="2"/>
      </rPr>
      <t>Recommended</t>
    </r>
    <r>
      <rPr>
        <sz val="11"/>
        <color theme="1"/>
        <rFont val="Arial"/>
        <family val="2"/>
      </rPr>
      <t xml:space="preserve"> Capacitor on Opto_Coupler Emitter, C</t>
    </r>
    <r>
      <rPr>
        <vertAlign val="subscript"/>
        <sz val="11"/>
        <color theme="1"/>
        <rFont val="Arial"/>
        <family val="2"/>
      </rPr>
      <t>FB</t>
    </r>
    <r>
      <rPr>
        <sz val="11"/>
        <color theme="1"/>
        <rFont val="Arial"/>
        <family val="2"/>
      </rPr>
      <t xml:space="preserve"> =</t>
    </r>
  </si>
  <si>
    <r>
      <t>Enter Actual C</t>
    </r>
    <r>
      <rPr>
        <vertAlign val="subscript"/>
        <sz val="11"/>
        <color theme="1"/>
        <rFont val="Arial"/>
        <family val="2"/>
      </rPr>
      <t>FB</t>
    </r>
    <r>
      <rPr>
        <sz val="11"/>
        <color theme="1"/>
        <rFont val="Arial"/>
        <family val="2"/>
      </rPr>
      <t xml:space="preserve"> Used</t>
    </r>
  </si>
  <si>
    <r>
      <rPr>
        <b/>
        <sz val="11"/>
        <color theme="1"/>
        <rFont val="Arial"/>
        <family val="2"/>
      </rPr>
      <t xml:space="preserve">Actual </t>
    </r>
    <r>
      <rPr>
        <sz val="11"/>
        <color theme="1"/>
        <rFont val="Arial"/>
        <family val="2"/>
      </rPr>
      <t>Value for C</t>
    </r>
    <r>
      <rPr>
        <vertAlign val="subscript"/>
        <sz val="11"/>
        <color theme="1"/>
        <rFont val="Arial"/>
        <family val="2"/>
      </rPr>
      <t>FB</t>
    </r>
    <r>
      <rPr>
        <sz val="11"/>
        <color theme="1"/>
        <rFont val="Arial"/>
        <family val="2"/>
      </rPr>
      <t xml:space="preserve"> Used, C</t>
    </r>
    <r>
      <rPr>
        <vertAlign val="subscript"/>
        <sz val="11"/>
        <color theme="1"/>
        <rFont val="Arial"/>
        <family val="2"/>
      </rPr>
      <t>FB</t>
    </r>
    <r>
      <rPr>
        <sz val="11"/>
        <color theme="1"/>
        <rFont val="Arial"/>
        <family val="2"/>
      </rPr>
      <t xml:space="preserve"> =</t>
    </r>
  </si>
  <si>
    <r>
      <t>R</t>
    </r>
    <r>
      <rPr>
        <vertAlign val="subscript"/>
        <sz val="11"/>
        <color theme="1"/>
        <rFont val="Arial"/>
        <family val="2"/>
      </rPr>
      <t>FB4recommended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</si>
  <si>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</si>
  <si>
    <r>
      <rPr>
        <b/>
        <sz val="11"/>
        <color theme="1"/>
        <rFont val="Arial"/>
        <family val="2"/>
      </rPr>
      <t>Actual</t>
    </r>
    <r>
      <rPr>
        <sz val="11"/>
        <color theme="1"/>
        <rFont val="Arial"/>
        <family val="2"/>
      </rPr>
      <t xml:space="preserve"> Value for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</si>
  <si>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FB4actual</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</si>
  <si>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r>
      <rPr>
        <sz val="11"/>
        <color theme="1"/>
        <rFont val="Arial"/>
        <family val="2"/>
      </rPr>
      <t xml:space="preserve"> R</t>
    </r>
    <r>
      <rPr>
        <vertAlign val="subscript"/>
        <sz val="11"/>
        <color theme="1"/>
        <rFont val="Arial"/>
        <family val="2"/>
      </rPr>
      <t>FB4 =</t>
    </r>
  </si>
  <si>
    <r>
      <t>Recommended R</t>
    </r>
    <r>
      <rPr>
        <vertAlign val="subscript"/>
        <sz val="11"/>
        <color theme="1"/>
        <rFont val="Arial"/>
        <family val="2"/>
      </rPr>
      <t>FB4</t>
    </r>
  </si>
  <si>
    <r>
      <t>Enter Actual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</si>
  <si>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t>
    </r>
    <r>
      <rPr>
        <sz val="11"/>
        <color theme="1"/>
        <rFont val="Arial"/>
        <family val="2"/>
      </rPr>
      <t xml:space="preserve"> =</t>
    </r>
  </si>
  <si>
    <r>
      <t>R</t>
    </r>
    <r>
      <rPr>
        <vertAlign val="subscript"/>
        <sz val="11"/>
        <color theme="1"/>
        <rFont val="Arial"/>
        <family val="2"/>
      </rPr>
      <t>FB4</t>
    </r>
    <r>
      <rPr>
        <sz val="11"/>
        <color theme="1"/>
        <rFont val="Arial"/>
        <family val="2"/>
      </rPr>
      <t xml:space="preserve"> Used in Calculations</t>
    </r>
  </si>
  <si>
    <t>Opto-Coupler Emitter Current to FB Pin Current Gain</t>
  </si>
  <si>
    <r>
      <t>G</t>
    </r>
    <r>
      <rPr>
        <vertAlign val="subscript"/>
        <sz val="11"/>
        <color theme="1"/>
        <rFont val="Arial"/>
        <family val="2"/>
      </rPr>
      <t>FB1</t>
    </r>
    <r>
      <rPr>
        <sz val="11"/>
        <color theme="1"/>
        <rFont val="Arial"/>
        <family val="2"/>
      </rPr>
      <t xml:space="preserve"> =</t>
    </r>
  </si>
  <si>
    <t>FB Pin Current to Control Law Voltage Gain, Full Load</t>
  </si>
  <si>
    <r>
      <t>G</t>
    </r>
    <r>
      <rPr>
        <vertAlign val="subscript"/>
        <sz val="11"/>
        <color theme="1"/>
        <rFont val="Arial"/>
        <family val="2"/>
      </rPr>
      <t>FB2</t>
    </r>
    <r>
      <rPr>
        <sz val="11"/>
        <color theme="1"/>
        <rFont val="Arial"/>
        <family val="2"/>
      </rPr>
      <t xml:space="preserve"> =</t>
    </r>
  </si>
  <si>
    <t>Control Law Voltage to Power Stage Modulation Gain, FM Mode</t>
  </si>
  <si>
    <r>
      <t>K</t>
    </r>
    <r>
      <rPr>
        <vertAlign val="subscript"/>
        <sz val="11"/>
        <color theme="1"/>
        <rFont val="Arial"/>
        <family val="2"/>
      </rPr>
      <t>FM4</t>
    </r>
    <r>
      <rPr>
        <sz val="11"/>
        <color theme="1"/>
        <rFont val="Arial"/>
        <family val="2"/>
      </rPr>
      <t xml:space="preserve"> =</t>
    </r>
  </si>
  <si>
    <t>kHz/V</t>
  </si>
  <si>
    <t>Power Stage Modulation (FM) to Average Current Gain</t>
  </si>
  <si>
    <r>
      <t>G</t>
    </r>
    <r>
      <rPr>
        <vertAlign val="subscript"/>
        <sz val="11"/>
        <color theme="1"/>
        <rFont val="Arial"/>
        <family val="2"/>
      </rPr>
      <t>P4</t>
    </r>
    <r>
      <rPr>
        <sz val="11"/>
        <color theme="1"/>
        <rFont val="Arial"/>
        <family val="2"/>
      </rPr>
      <t xml:space="preserve"> =</t>
    </r>
  </si>
  <si>
    <t>uC factor</t>
  </si>
  <si>
    <r>
      <rPr>
        <sz val="11"/>
        <color theme="1"/>
        <rFont val="Calibri"/>
        <family val="2"/>
      </rPr>
      <t>µ</t>
    </r>
    <r>
      <rPr>
        <sz val="11"/>
        <color theme="1"/>
        <rFont val="Arial"/>
        <family val="2"/>
      </rPr>
      <t>C</t>
    </r>
  </si>
  <si>
    <t xml:space="preserve">Bode Plot </t>
  </si>
  <si>
    <t>Log Scale Converter</t>
  </si>
  <si>
    <t>frequency</t>
  </si>
  <si>
    <t>ω</t>
  </si>
  <si>
    <t>rad</t>
  </si>
  <si>
    <t>Gain</t>
  </si>
  <si>
    <t>Opto-Coupler Diode Current to Emitter Current Gain</t>
  </si>
  <si>
    <t>dB</t>
  </si>
  <si>
    <t>degrees</t>
  </si>
  <si>
    <t>Output Current to Output Voltage Gain</t>
  </si>
  <si>
    <t>Shunt Regulator Reference Input Current, Maximum</t>
  </si>
  <si>
    <r>
      <t>Reference Voltage of Shunt Regulator, i.e. TL431, V</t>
    </r>
    <r>
      <rPr>
        <vertAlign val="subscript"/>
        <sz val="11"/>
        <rFont val="Arial"/>
        <family val="2"/>
      </rPr>
      <t>REF431</t>
    </r>
    <r>
      <rPr>
        <sz val="11"/>
        <rFont val="Arial"/>
        <family val="2"/>
      </rPr>
      <t xml:space="preserve"> =</t>
    </r>
  </si>
  <si>
    <r>
      <t>Maximum Reference Input Current of Shunt Regulator, I</t>
    </r>
    <r>
      <rPr>
        <vertAlign val="subscript"/>
        <sz val="11"/>
        <rFont val="Arial"/>
        <family val="2"/>
      </rPr>
      <t>REF431</t>
    </r>
    <r>
      <rPr>
        <sz val="11"/>
        <rFont val="Arial"/>
        <family val="2"/>
      </rPr>
      <t xml:space="preserve"> =</t>
    </r>
  </si>
  <si>
    <r>
      <rPr>
        <b/>
        <sz val="11"/>
        <color theme="1"/>
        <rFont val="Arial"/>
        <family val="2"/>
      </rPr>
      <t>Recommeded</t>
    </r>
    <r>
      <rPr>
        <sz val="11"/>
        <color theme="1"/>
        <rFont val="Arial"/>
        <family val="2"/>
      </rPr>
      <t xml:space="preserve"> Value for Shunt Regulator Bias Resistor</t>
    </r>
  </si>
  <si>
    <r>
      <t>R</t>
    </r>
    <r>
      <rPr>
        <vertAlign val="subscript"/>
        <sz val="11"/>
        <color theme="1"/>
        <rFont val="Arial"/>
        <family val="2"/>
      </rPr>
      <t>TLrecommended</t>
    </r>
    <r>
      <rPr>
        <sz val="11"/>
        <color theme="1"/>
        <rFont val="Arial"/>
        <family val="2"/>
      </rPr>
      <t xml:space="preserve"> =</t>
    </r>
  </si>
  <si>
    <r>
      <t>R</t>
    </r>
    <r>
      <rPr>
        <vertAlign val="subscript"/>
        <sz val="11"/>
        <color theme="1"/>
        <rFont val="Arial"/>
        <family val="2"/>
      </rPr>
      <t>TLactual</t>
    </r>
    <r>
      <rPr>
        <sz val="11"/>
        <color theme="1"/>
        <rFont val="Arial"/>
        <family val="2"/>
      </rPr>
      <t xml:space="preserve"> =</t>
    </r>
  </si>
  <si>
    <r>
      <rPr>
        <b/>
        <sz val="11"/>
        <color theme="1"/>
        <rFont val="Arial"/>
        <family val="2"/>
      </rPr>
      <t xml:space="preserve">Actual </t>
    </r>
    <r>
      <rPr>
        <sz val="11"/>
        <color theme="1"/>
        <rFont val="Arial"/>
        <family val="2"/>
      </rPr>
      <t>Value of Shunt Regulator Bias Resistor Used</t>
    </r>
  </si>
  <si>
    <r>
      <t>R</t>
    </r>
    <r>
      <rPr>
        <vertAlign val="subscript"/>
        <sz val="11"/>
        <color theme="1"/>
        <rFont val="Arial"/>
        <family val="2"/>
      </rPr>
      <t>TL</t>
    </r>
    <r>
      <rPr>
        <sz val="11"/>
        <color theme="1"/>
        <rFont val="Arial"/>
        <family val="2"/>
      </rPr>
      <t xml:space="preserve"> Used in Calculations</t>
    </r>
  </si>
  <si>
    <r>
      <t>R</t>
    </r>
    <r>
      <rPr>
        <vertAlign val="subscript"/>
        <sz val="11"/>
        <color theme="1"/>
        <rFont val="Arial"/>
        <family val="2"/>
      </rPr>
      <t>TL</t>
    </r>
    <r>
      <rPr>
        <sz val="11"/>
        <color theme="1"/>
        <rFont val="Arial"/>
        <family val="2"/>
      </rPr>
      <t xml:space="preserve"> =</t>
    </r>
  </si>
  <si>
    <r>
      <t>Recommended R</t>
    </r>
    <r>
      <rPr>
        <vertAlign val="subscript"/>
        <sz val="11"/>
        <color theme="1"/>
        <rFont val="Arial"/>
        <family val="2"/>
      </rPr>
      <t>TL</t>
    </r>
  </si>
  <si>
    <r>
      <rPr>
        <b/>
        <sz val="11"/>
        <color theme="1"/>
        <rFont val="Arial"/>
        <family val="2"/>
      </rPr>
      <t>Recommended</t>
    </r>
    <r>
      <rPr>
        <sz val="11"/>
        <color theme="1"/>
        <rFont val="Arial"/>
        <family val="2"/>
      </rPr>
      <t xml:space="preserve"> Value for Shunt Regulator Bias Resistor, R</t>
    </r>
    <r>
      <rPr>
        <vertAlign val="subscript"/>
        <sz val="11"/>
        <color theme="1"/>
        <rFont val="Arial"/>
        <family val="2"/>
      </rPr>
      <t>TL</t>
    </r>
    <r>
      <rPr>
        <sz val="11"/>
        <color theme="1"/>
        <rFont val="Arial"/>
        <family val="2"/>
      </rPr>
      <t xml:space="preserve"> =</t>
    </r>
  </si>
  <si>
    <r>
      <rPr>
        <b/>
        <sz val="11"/>
        <color theme="1"/>
        <rFont val="Arial"/>
        <family val="2"/>
      </rPr>
      <t>Actual</t>
    </r>
    <r>
      <rPr>
        <sz val="11"/>
        <color theme="1"/>
        <rFont val="Arial"/>
        <family val="2"/>
      </rPr>
      <t xml:space="preserve"> Value of Shunt Regulator Bias Resistor Used, R</t>
    </r>
    <r>
      <rPr>
        <vertAlign val="subscript"/>
        <sz val="11"/>
        <color theme="1"/>
        <rFont val="Arial"/>
        <family val="2"/>
      </rPr>
      <t>TL</t>
    </r>
    <r>
      <rPr>
        <sz val="11"/>
        <color theme="1"/>
        <rFont val="Arial"/>
        <family val="2"/>
      </rPr>
      <t xml:space="preserve"> =</t>
    </r>
  </si>
  <si>
    <r>
      <t>Enter Actual R</t>
    </r>
    <r>
      <rPr>
        <vertAlign val="subscript"/>
        <sz val="11"/>
        <color theme="1"/>
        <rFont val="Arial"/>
        <family val="2"/>
      </rPr>
      <t>TL</t>
    </r>
    <r>
      <rPr>
        <sz val="11"/>
        <color theme="1"/>
        <rFont val="Arial"/>
        <family val="2"/>
      </rPr>
      <t xml:space="preserve"> Used</t>
    </r>
  </si>
  <si>
    <t>Total Open Loop Gain</t>
  </si>
  <si>
    <t>Frequency for Cz:</t>
  </si>
  <si>
    <r>
      <rPr>
        <b/>
        <sz val="11"/>
        <color theme="1"/>
        <rFont val="Arial"/>
        <family val="2"/>
      </rPr>
      <t>Recommended</t>
    </r>
    <r>
      <rPr>
        <sz val="11"/>
        <color theme="1"/>
        <rFont val="Arial"/>
        <family val="2"/>
      </rPr>
      <t xml:space="preserve"> Value for Compensation Capacitor</t>
    </r>
  </si>
  <si>
    <r>
      <t>C</t>
    </r>
    <r>
      <rPr>
        <vertAlign val="subscript"/>
        <sz val="11"/>
        <color theme="1"/>
        <rFont val="Arial"/>
        <family val="2"/>
      </rPr>
      <t>Zrecommended</t>
    </r>
    <r>
      <rPr>
        <sz val="11"/>
        <color theme="1"/>
        <rFont val="Arial"/>
        <family val="2"/>
      </rPr>
      <t xml:space="preserve"> =</t>
    </r>
  </si>
  <si>
    <r>
      <t>C</t>
    </r>
    <r>
      <rPr>
        <vertAlign val="subscript"/>
        <sz val="11"/>
        <color theme="1"/>
        <rFont val="Arial"/>
        <family val="2"/>
      </rPr>
      <t>Zactual =</t>
    </r>
  </si>
  <si>
    <r>
      <rPr>
        <b/>
        <sz val="11"/>
        <color theme="1"/>
        <rFont val="Arial"/>
        <family val="2"/>
      </rPr>
      <t xml:space="preserve">Actual </t>
    </r>
    <r>
      <rPr>
        <sz val="11"/>
        <color theme="1"/>
        <rFont val="Arial"/>
        <family val="2"/>
      </rPr>
      <t>Value Used C</t>
    </r>
    <r>
      <rPr>
        <vertAlign val="subscript"/>
        <sz val="11"/>
        <color theme="1"/>
        <rFont val="Arial"/>
        <family val="2"/>
      </rPr>
      <t>Z</t>
    </r>
  </si>
  <si>
    <r>
      <t>Recommended C</t>
    </r>
    <r>
      <rPr>
        <vertAlign val="subscript"/>
        <sz val="11"/>
        <color theme="1"/>
        <rFont val="Arial"/>
        <family val="2"/>
      </rPr>
      <t>Z</t>
    </r>
  </si>
  <si>
    <r>
      <rPr>
        <b/>
        <sz val="11"/>
        <color theme="1"/>
        <rFont val="Arial"/>
        <family val="2"/>
      </rPr>
      <t>Recommended</t>
    </r>
    <r>
      <rPr>
        <sz val="11"/>
        <color theme="1"/>
        <rFont val="Arial"/>
        <family val="2"/>
      </rPr>
      <t xml:space="preserve"> Value for Compensation Capacitor, C</t>
    </r>
    <r>
      <rPr>
        <vertAlign val="subscript"/>
        <sz val="11"/>
        <color theme="1"/>
        <rFont val="Arial"/>
        <family val="2"/>
      </rPr>
      <t>Z</t>
    </r>
    <r>
      <rPr>
        <sz val="11"/>
        <color theme="1"/>
        <rFont val="Arial"/>
        <family val="2"/>
      </rPr>
      <t xml:space="preserve"> =</t>
    </r>
  </si>
  <si>
    <r>
      <rPr>
        <b/>
        <sz val="11"/>
        <color theme="1"/>
        <rFont val="Arial"/>
        <family val="2"/>
      </rPr>
      <t>Actual</t>
    </r>
    <r>
      <rPr>
        <sz val="11"/>
        <color theme="1"/>
        <rFont val="Arial"/>
        <family val="2"/>
      </rPr>
      <t xml:space="preserve"> Value of Compensation Capacitor Used, C</t>
    </r>
    <r>
      <rPr>
        <vertAlign val="subscript"/>
        <sz val="11"/>
        <color theme="1"/>
        <rFont val="Arial"/>
        <family val="2"/>
      </rPr>
      <t>Z</t>
    </r>
    <r>
      <rPr>
        <sz val="11"/>
        <color theme="1"/>
        <rFont val="Arial"/>
        <family val="2"/>
      </rPr>
      <t xml:space="preserve"> =</t>
    </r>
  </si>
  <si>
    <r>
      <t>Enter Actual C</t>
    </r>
    <r>
      <rPr>
        <vertAlign val="subscript"/>
        <sz val="11"/>
        <color theme="1"/>
        <rFont val="Arial"/>
        <family val="2"/>
      </rPr>
      <t>Z</t>
    </r>
    <r>
      <rPr>
        <sz val="11"/>
        <color theme="1"/>
        <rFont val="Arial"/>
        <family val="2"/>
      </rPr>
      <t xml:space="preserve"> Used</t>
    </r>
  </si>
  <si>
    <r>
      <t xml:space="preserve">ALL </t>
    </r>
    <r>
      <rPr>
        <b/>
        <sz val="14"/>
        <color theme="6"/>
        <rFont val="Arial"/>
        <family val="2"/>
      </rPr>
      <t>GREEN</t>
    </r>
    <r>
      <rPr>
        <b/>
        <sz val="14"/>
        <color theme="1"/>
        <rFont val="Arial"/>
        <family val="2"/>
      </rPr>
      <t xml:space="preserve"> CELLS ARE USER INPUTS</t>
    </r>
  </si>
  <si>
    <r>
      <t>f</t>
    </r>
    <r>
      <rPr>
        <b/>
        <vertAlign val="subscript"/>
        <sz val="11"/>
        <color theme="1"/>
        <rFont val="Arial"/>
        <family val="2"/>
      </rPr>
      <t>max</t>
    </r>
    <r>
      <rPr>
        <b/>
        <sz val="11"/>
        <color theme="1"/>
        <rFont val="Arial"/>
        <family val="2"/>
      </rPr>
      <t xml:space="preserve"> =</t>
    </r>
  </si>
  <si>
    <t>Reference Designator</t>
  </si>
  <si>
    <t>FUSE</t>
  </si>
  <si>
    <t>Total Capacitance</t>
  </si>
  <si>
    <t>RECOMMENDED BILL OF MATERIALS</t>
  </si>
  <si>
    <t>Description/Comments</t>
  </si>
  <si>
    <t>Type:</t>
  </si>
  <si>
    <r>
      <t>N</t>
    </r>
    <r>
      <rPr>
        <vertAlign val="subscript"/>
        <sz val="12"/>
        <color theme="1"/>
        <rFont val="Arial"/>
        <family val="2"/>
      </rPr>
      <t>PS</t>
    </r>
    <r>
      <rPr>
        <sz val="12"/>
        <color theme="1"/>
        <rFont val="Arial"/>
        <family val="2"/>
      </rPr>
      <t/>
    </r>
  </si>
  <si>
    <r>
      <t>N</t>
    </r>
    <r>
      <rPr>
        <vertAlign val="subscript"/>
        <sz val="12"/>
        <color theme="1"/>
        <rFont val="Arial"/>
        <family val="2"/>
      </rPr>
      <t>PA</t>
    </r>
  </si>
  <si>
    <t>TRANSFORMER</t>
  </si>
  <si>
    <t>Minimum Voltage Rating:</t>
  </si>
  <si>
    <t>Minimum Current Rating:</t>
  </si>
  <si>
    <t>Minimum DC Blocking Voltage:</t>
  </si>
  <si>
    <t>Power Dissipation:</t>
  </si>
  <si>
    <t>Value:</t>
  </si>
  <si>
    <t>Primary Inductance:</t>
  </si>
  <si>
    <t>Primary to Secondary Turns Ratio:</t>
  </si>
  <si>
    <t>Primary to Auxiliary Turns Ratio:</t>
  </si>
  <si>
    <t>Peak Primary Current:</t>
  </si>
  <si>
    <t>Primary RMS Current:</t>
  </si>
  <si>
    <t>Peak Secondary Current:</t>
  </si>
  <si>
    <t>Secondary RMS Current:</t>
  </si>
  <si>
    <t>Maximum Switching Frequency:</t>
  </si>
  <si>
    <r>
      <t>R</t>
    </r>
    <r>
      <rPr>
        <b/>
        <vertAlign val="subscript"/>
        <sz val="12"/>
        <color rgb="FFFF0000"/>
        <rFont val="Arial"/>
        <family val="2"/>
      </rPr>
      <t>CS</t>
    </r>
  </si>
  <si>
    <t>Low Inductance</t>
  </si>
  <si>
    <t>Q</t>
  </si>
  <si>
    <t>Slow Blow</t>
  </si>
  <si>
    <r>
      <t>Minimum V</t>
    </r>
    <r>
      <rPr>
        <vertAlign val="subscript"/>
        <sz val="12"/>
        <color theme="1"/>
        <rFont val="Arial"/>
        <family val="2"/>
      </rPr>
      <t>DS</t>
    </r>
    <r>
      <rPr>
        <sz val="12"/>
        <color theme="1"/>
        <rFont val="Arial"/>
        <family val="2"/>
      </rPr>
      <t xml:space="preserve"> Voltage Rating:</t>
    </r>
  </si>
  <si>
    <t>Minimum Continuous Current Rating:</t>
  </si>
  <si>
    <t>Minimum Repetitive Peak Current Rating:</t>
  </si>
  <si>
    <t>Minimum Blocking Voltage Rating:</t>
  </si>
  <si>
    <t>Minimum Average Current Rating:</t>
  </si>
  <si>
    <t>Minimum Value:</t>
  </si>
  <si>
    <t>Minimum Ripple Current Rating:</t>
  </si>
  <si>
    <t>Maximum ESR Rating:</t>
  </si>
  <si>
    <r>
      <t>D</t>
    </r>
    <r>
      <rPr>
        <b/>
        <vertAlign val="subscript"/>
        <sz val="12"/>
        <color rgb="FFFF0000"/>
        <rFont val="Arial"/>
        <family val="2"/>
      </rPr>
      <t>AUX</t>
    </r>
  </si>
  <si>
    <t>Minimum Required Blocking Voltage:</t>
  </si>
  <si>
    <t>Minimum Rated Current:</t>
  </si>
  <si>
    <r>
      <t>R</t>
    </r>
    <r>
      <rPr>
        <b/>
        <vertAlign val="subscript"/>
        <sz val="12"/>
        <color rgb="FFFF0000"/>
        <rFont val="Arial"/>
        <family val="2"/>
      </rPr>
      <t>VS1</t>
    </r>
  </si>
  <si>
    <t>Power Rating:</t>
  </si>
  <si>
    <t>±1%</t>
  </si>
  <si>
    <r>
      <t>R</t>
    </r>
    <r>
      <rPr>
        <b/>
        <vertAlign val="subscript"/>
        <sz val="12"/>
        <color rgb="FFFF0000"/>
        <rFont val="Arial"/>
        <family val="2"/>
      </rPr>
      <t>VS2</t>
    </r>
  </si>
  <si>
    <r>
      <t>R</t>
    </r>
    <r>
      <rPr>
        <b/>
        <vertAlign val="subscript"/>
        <sz val="12"/>
        <color rgb="FFFF0000"/>
        <rFont val="Arial"/>
        <family val="2"/>
      </rPr>
      <t>LC</t>
    </r>
  </si>
  <si>
    <r>
      <t>C</t>
    </r>
    <r>
      <rPr>
        <b/>
        <vertAlign val="subscript"/>
        <sz val="12"/>
        <color rgb="FFFF0000"/>
        <rFont val="Arial"/>
        <family val="2"/>
      </rPr>
      <t>VDD</t>
    </r>
  </si>
  <si>
    <t>Voltage Rating:</t>
  </si>
  <si>
    <t>±10%</t>
  </si>
  <si>
    <r>
      <t>C</t>
    </r>
    <r>
      <rPr>
        <b/>
        <vertAlign val="subscript"/>
        <sz val="12"/>
        <color rgb="FFFF0000"/>
        <rFont val="Arial"/>
        <family val="2"/>
      </rPr>
      <t>EXT</t>
    </r>
  </si>
  <si>
    <r>
      <t>C</t>
    </r>
    <r>
      <rPr>
        <b/>
        <vertAlign val="subscript"/>
        <sz val="12"/>
        <color rgb="FFFF0000"/>
        <rFont val="Arial"/>
        <family val="2"/>
      </rPr>
      <t>FB</t>
    </r>
  </si>
  <si>
    <r>
      <t>C</t>
    </r>
    <r>
      <rPr>
        <b/>
        <vertAlign val="subscript"/>
        <sz val="12"/>
        <color rgb="FFFF0000"/>
        <rFont val="Arial"/>
        <family val="2"/>
      </rPr>
      <t>SS431</t>
    </r>
  </si>
  <si>
    <r>
      <t>C</t>
    </r>
    <r>
      <rPr>
        <b/>
        <vertAlign val="subscript"/>
        <sz val="12"/>
        <color rgb="FFFF0000"/>
        <rFont val="Arial"/>
        <family val="2"/>
      </rPr>
      <t>Z</t>
    </r>
  </si>
  <si>
    <r>
      <t>D</t>
    </r>
    <r>
      <rPr>
        <b/>
        <vertAlign val="subscript"/>
        <sz val="12"/>
        <color rgb="FFFF0000"/>
        <rFont val="Arial"/>
        <family val="2"/>
      </rPr>
      <t>CLAMP</t>
    </r>
  </si>
  <si>
    <t>Voltage:</t>
  </si>
  <si>
    <t>Transient Voltage Suppressor</t>
  </si>
  <si>
    <r>
      <t>D</t>
    </r>
    <r>
      <rPr>
        <b/>
        <vertAlign val="subscript"/>
        <sz val="12"/>
        <color rgb="FFFF0000"/>
        <rFont val="Arial"/>
        <family val="2"/>
      </rPr>
      <t>1</t>
    </r>
  </si>
  <si>
    <t>Ultra Fast</t>
  </si>
  <si>
    <t>Current Rating:</t>
  </si>
  <si>
    <t>OPTO-COUPLER</t>
  </si>
  <si>
    <t>SHUNT REGULATOR</t>
  </si>
  <si>
    <r>
      <t>D</t>
    </r>
    <r>
      <rPr>
        <b/>
        <vertAlign val="subscript"/>
        <sz val="12"/>
        <color rgb="FFFF0000"/>
        <rFont val="Arial"/>
        <family val="2"/>
      </rPr>
      <t>OUT</t>
    </r>
  </si>
  <si>
    <r>
      <t>CTR</t>
    </r>
    <r>
      <rPr>
        <vertAlign val="subscript"/>
        <sz val="12"/>
        <color theme="1"/>
        <rFont val="Arial"/>
        <family val="2"/>
      </rPr>
      <t>min</t>
    </r>
    <r>
      <rPr>
        <sz val="12"/>
        <color theme="1"/>
        <rFont val="Arial"/>
        <family val="2"/>
      </rPr>
      <t>:</t>
    </r>
  </si>
  <si>
    <r>
      <t>R</t>
    </r>
    <r>
      <rPr>
        <b/>
        <vertAlign val="subscript"/>
        <sz val="12"/>
        <color rgb="FFFF0000"/>
        <rFont val="Arial"/>
        <family val="2"/>
      </rPr>
      <t>INJ</t>
    </r>
  </si>
  <si>
    <r>
      <t>R</t>
    </r>
    <r>
      <rPr>
        <b/>
        <vertAlign val="subscript"/>
        <sz val="12"/>
        <color rgb="FFFF0000"/>
        <rFont val="Arial"/>
        <family val="2"/>
      </rPr>
      <t>VDD</t>
    </r>
  </si>
  <si>
    <t>2 to 50</t>
  </si>
  <si>
    <t>As Needed for Voltage Spike Smoothing</t>
  </si>
  <si>
    <t>1/10 to 1/2</t>
  </si>
  <si>
    <r>
      <t>R</t>
    </r>
    <r>
      <rPr>
        <b/>
        <vertAlign val="subscript"/>
        <sz val="12"/>
        <color rgb="FFFF0000"/>
        <rFont val="Arial"/>
        <family val="2"/>
      </rPr>
      <t>FB1</t>
    </r>
  </si>
  <si>
    <r>
      <t>R</t>
    </r>
    <r>
      <rPr>
        <b/>
        <vertAlign val="subscript"/>
        <sz val="12"/>
        <color rgb="FFFF0000"/>
        <rFont val="Arial"/>
        <family val="2"/>
      </rPr>
      <t>FB2</t>
    </r>
  </si>
  <si>
    <r>
      <t>R</t>
    </r>
    <r>
      <rPr>
        <b/>
        <vertAlign val="subscript"/>
        <sz val="12"/>
        <color rgb="FFFF0000"/>
        <rFont val="Arial"/>
        <family val="2"/>
      </rPr>
      <t>FB3</t>
    </r>
  </si>
  <si>
    <r>
      <t>R</t>
    </r>
    <r>
      <rPr>
        <b/>
        <vertAlign val="subscript"/>
        <sz val="12"/>
        <color rgb="FFFF0000"/>
        <rFont val="Arial"/>
        <family val="2"/>
      </rPr>
      <t>FB4</t>
    </r>
  </si>
  <si>
    <r>
      <t>R</t>
    </r>
    <r>
      <rPr>
        <b/>
        <vertAlign val="subscript"/>
        <sz val="12"/>
        <color rgb="FFFF0000"/>
        <rFont val="Arial"/>
        <family val="2"/>
      </rPr>
      <t>OPT</t>
    </r>
  </si>
  <si>
    <r>
      <t>k</t>
    </r>
    <r>
      <rPr>
        <sz val="12"/>
        <color theme="1"/>
        <rFont val="Calibri"/>
        <family val="2"/>
      </rPr>
      <t>Ω</t>
    </r>
  </si>
  <si>
    <r>
      <t>R</t>
    </r>
    <r>
      <rPr>
        <b/>
        <vertAlign val="subscript"/>
        <sz val="12"/>
        <color rgb="FFFF0000"/>
        <rFont val="Arial"/>
        <family val="2"/>
      </rPr>
      <t>TL</t>
    </r>
  </si>
  <si>
    <t>Voltage Reference:</t>
  </si>
  <si>
    <t>Schottky</t>
  </si>
  <si>
    <t>Switching</t>
  </si>
  <si>
    <t>Aluminum Electrolytic</t>
  </si>
  <si>
    <t>Ceramic</t>
  </si>
  <si>
    <t>TI Literature Number:</t>
  </si>
  <si>
    <t>Flyback Transformer, Primary to Secondary Turns Ratio</t>
  </si>
  <si>
    <t>Actual Minimum On-Time</t>
  </si>
  <si>
    <r>
      <t>t</t>
    </r>
    <r>
      <rPr>
        <vertAlign val="subscript"/>
        <sz val="11"/>
        <color theme="1"/>
        <rFont val="Arial"/>
        <family val="2"/>
      </rPr>
      <t xml:space="preserve">ONmin(actual) </t>
    </r>
    <r>
      <rPr>
        <sz val="11"/>
        <color theme="1"/>
        <rFont val="Arial"/>
        <family val="2"/>
      </rPr>
      <t>=</t>
    </r>
  </si>
  <si>
    <r>
      <t>t</t>
    </r>
    <r>
      <rPr>
        <vertAlign val="subscript"/>
        <sz val="11"/>
        <color theme="1"/>
        <rFont val="Arial"/>
        <family val="2"/>
      </rPr>
      <t xml:space="preserve">ONmin(limit) </t>
    </r>
    <r>
      <rPr>
        <sz val="11"/>
        <color theme="1"/>
        <rFont val="Arial"/>
        <family val="2"/>
      </rPr>
      <t>=</t>
    </r>
  </si>
  <si>
    <r>
      <rPr>
        <b/>
        <sz val="11"/>
        <color theme="1"/>
        <rFont val="Arial"/>
        <family val="2"/>
      </rPr>
      <t>Ideal</t>
    </r>
    <r>
      <rPr>
        <sz val="11"/>
        <color theme="1"/>
        <rFont val="Arial"/>
        <family val="2"/>
      </rPr>
      <t xml:space="preserve"> Primary to Secondary Turns Ratio</t>
    </r>
  </si>
  <si>
    <r>
      <t>N</t>
    </r>
    <r>
      <rPr>
        <vertAlign val="subscript"/>
        <sz val="11"/>
        <color theme="1"/>
        <rFont val="Arial"/>
        <family val="2"/>
      </rPr>
      <t>PSideal</t>
    </r>
    <r>
      <rPr>
        <sz val="11"/>
        <color theme="1"/>
        <rFont val="Arial"/>
        <family val="2"/>
      </rPr>
      <t xml:space="preserve"> =</t>
    </r>
  </si>
  <si>
    <r>
      <rPr>
        <b/>
        <sz val="11"/>
        <color theme="1"/>
        <rFont val="Arial"/>
        <family val="2"/>
      </rPr>
      <t>Ideal</t>
    </r>
    <r>
      <rPr>
        <sz val="11"/>
        <color theme="1"/>
        <rFont val="Arial"/>
        <family val="2"/>
      </rPr>
      <t xml:space="preserve"> Primary to Secondary Turns Ratio, N</t>
    </r>
    <r>
      <rPr>
        <vertAlign val="subscript"/>
        <sz val="11"/>
        <color theme="1"/>
        <rFont val="Arial"/>
        <family val="2"/>
      </rPr>
      <t>PSideal</t>
    </r>
    <r>
      <rPr>
        <sz val="11"/>
        <color theme="1"/>
        <rFont val="Arial"/>
        <family val="2"/>
      </rPr>
      <t xml:space="preserve"> =</t>
    </r>
  </si>
  <si>
    <r>
      <t>Recommended N</t>
    </r>
    <r>
      <rPr>
        <vertAlign val="subscript"/>
        <sz val="11"/>
        <color theme="1"/>
        <rFont val="Arial"/>
        <family val="2"/>
      </rPr>
      <t>PS</t>
    </r>
  </si>
  <si>
    <r>
      <t xml:space="preserve">Desired </t>
    </r>
    <r>
      <rPr>
        <sz val="11"/>
        <rFont val="Arial"/>
        <family val="2"/>
      </rPr>
      <t>Minimum Valley Voltage, V</t>
    </r>
    <r>
      <rPr>
        <vertAlign val="subscript"/>
        <sz val="11"/>
        <rFont val="Arial"/>
        <family val="2"/>
      </rPr>
      <t>BULKvalley_desired</t>
    </r>
    <r>
      <rPr>
        <sz val="11"/>
        <rFont val="Arial"/>
        <family val="2"/>
      </rPr>
      <t xml:space="preserve"> =</t>
    </r>
  </si>
  <si>
    <r>
      <t>Target Maximum Stand By Power Dissipation, P</t>
    </r>
    <r>
      <rPr>
        <vertAlign val="subscript"/>
        <sz val="11"/>
        <color theme="1"/>
        <rFont val="Arial"/>
        <family val="2"/>
      </rPr>
      <t>SBtarget</t>
    </r>
    <r>
      <rPr>
        <sz val="11"/>
        <color theme="1"/>
        <rFont val="Arial"/>
        <family val="2"/>
      </rPr>
      <t xml:space="preserve"> =</t>
    </r>
  </si>
  <si>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</si>
  <si>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t>Required Drain to Soure Voltage Rating , V</t>
    </r>
    <r>
      <rPr>
        <vertAlign val="subscript"/>
        <sz val="11"/>
        <rFont val="Arial"/>
        <family val="2"/>
      </rPr>
      <t>DSrated</t>
    </r>
    <r>
      <rPr>
        <sz val="11"/>
        <rFont val="Arial"/>
        <family val="2"/>
      </rPr>
      <t xml:space="preserve"> =</t>
    </r>
  </si>
  <si>
    <r>
      <t>V</t>
    </r>
    <r>
      <rPr>
        <vertAlign val="subscript"/>
        <sz val="12"/>
        <rFont val="Arial"/>
        <family val="2"/>
      </rPr>
      <t>DSmin_rating</t>
    </r>
    <r>
      <rPr>
        <sz val="12"/>
        <rFont val="Arial"/>
        <family val="2"/>
      </rPr>
      <t xml:space="preserve"> =</t>
    </r>
  </si>
  <si>
    <t>Estimated Transformer Efficiency</t>
  </si>
  <si>
    <t>Worst Case Estimate</t>
  </si>
  <si>
    <t>Noise Injection Resistor For Loop Analysis</t>
  </si>
  <si>
    <r>
      <t>R</t>
    </r>
    <r>
      <rPr>
        <vertAlign val="subscript"/>
        <sz val="11"/>
        <color theme="1"/>
        <rFont val="Arial"/>
        <family val="2"/>
      </rPr>
      <t>INJ</t>
    </r>
    <r>
      <rPr>
        <sz val="11"/>
        <color theme="1"/>
        <rFont val="Arial"/>
        <family val="2"/>
      </rPr>
      <t xml:space="preserve"> =</t>
    </r>
  </si>
  <si>
    <t>Ω</t>
  </si>
  <si>
    <t>May be changed by User here</t>
  </si>
  <si>
    <r>
      <t>Full Load Rated Output Current, I</t>
    </r>
    <r>
      <rPr>
        <vertAlign val="subscript"/>
        <sz val="11"/>
        <color theme="1"/>
        <rFont val="Arial"/>
        <family val="2"/>
      </rPr>
      <t>OUT</t>
    </r>
    <r>
      <rPr>
        <sz val="11"/>
        <color theme="1"/>
        <rFont val="Arial"/>
        <family val="2"/>
      </rPr>
      <t xml:space="preserve"> =</t>
    </r>
  </si>
  <si>
    <r>
      <t>I</t>
    </r>
    <r>
      <rPr>
        <vertAlign val="subscript"/>
        <sz val="11"/>
        <rFont val="Arial"/>
        <family val="2"/>
      </rPr>
      <t>OUT</t>
    </r>
    <r>
      <rPr>
        <sz val="11"/>
        <rFont val="Arial"/>
        <family val="2"/>
      </rPr>
      <t xml:space="preserve"> =</t>
    </r>
  </si>
  <si>
    <t>Full Load Rated Output Current</t>
  </si>
  <si>
    <t>Target Constant Current Mode Output Load Threshold</t>
  </si>
  <si>
    <r>
      <t>Target Constant Current Mode Output Load Threshold, I</t>
    </r>
    <r>
      <rPr>
        <vertAlign val="subscript"/>
        <sz val="11"/>
        <color theme="1"/>
        <rFont val="Arial"/>
        <family val="2"/>
      </rPr>
      <t>OCC</t>
    </r>
    <r>
      <rPr>
        <sz val="11"/>
        <color theme="1"/>
        <rFont val="Arial"/>
        <family val="2"/>
      </rPr>
      <t xml:space="preserve"> =</t>
    </r>
  </si>
  <si>
    <r>
      <t>C</t>
    </r>
    <r>
      <rPr>
        <b/>
        <vertAlign val="subscript"/>
        <sz val="12"/>
        <color rgb="FFFF0000"/>
        <rFont val="Arial"/>
        <family val="2"/>
      </rPr>
      <t>BULKtotal</t>
    </r>
    <r>
      <rPr>
        <b/>
        <sz val="12"/>
        <color rgb="FFFF0000"/>
        <rFont val="Arial"/>
        <family val="2"/>
      </rPr>
      <t xml:space="preserve"> = C</t>
    </r>
    <r>
      <rPr>
        <b/>
        <vertAlign val="subscript"/>
        <sz val="12"/>
        <color rgb="FFFF0000"/>
        <rFont val="Arial"/>
        <family val="2"/>
      </rPr>
      <t>BULK1</t>
    </r>
    <r>
      <rPr>
        <b/>
        <sz val="12"/>
        <color rgb="FFFF0000"/>
        <rFont val="Arial"/>
        <family val="2"/>
      </rPr>
      <t xml:space="preserve"> + C</t>
    </r>
    <r>
      <rPr>
        <b/>
        <vertAlign val="subscript"/>
        <sz val="12"/>
        <color rgb="FFFF0000"/>
        <rFont val="Arial"/>
        <family val="2"/>
      </rPr>
      <t>BULK2</t>
    </r>
  </si>
  <si>
    <r>
      <t>C</t>
    </r>
    <r>
      <rPr>
        <b/>
        <vertAlign val="subscript"/>
        <sz val="12"/>
        <color rgb="FFFF0000"/>
        <rFont val="Arial"/>
        <family val="2"/>
      </rPr>
      <t>OUTtotal</t>
    </r>
    <r>
      <rPr>
        <b/>
        <sz val="12"/>
        <color rgb="FFFF0000"/>
        <rFont val="Arial"/>
        <family val="2"/>
      </rPr>
      <t xml:space="preserve"> = C</t>
    </r>
    <r>
      <rPr>
        <b/>
        <vertAlign val="subscript"/>
        <sz val="12"/>
        <color rgb="FFFF0000"/>
        <rFont val="Arial"/>
        <family val="2"/>
      </rPr>
      <t>OUT1</t>
    </r>
    <r>
      <rPr>
        <b/>
        <sz val="12"/>
        <color rgb="FFFF0000"/>
        <rFont val="Arial"/>
        <family val="2"/>
      </rPr>
      <t xml:space="preserve"> + C</t>
    </r>
    <r>
      <rPr>
        <b/>
        <vertAlign val="subscript"/>
        <sz val="12"/>
        <color rgb="FFFF0000"/>
        <rFont val="Arial"/>
        <family val="2"/>
      </rPr>
      <t>OUT2</t>
    </r>
  </si>
  <si>
    <t>Minimum Peak Current Rating:</t>
  </si>
  <si>
    <r>
      <t>Used to determine the required input bulk capacitor at minimum line, full load. For DC input, use V</t>
    </r>
    <r>
      <rPr>
        <vertAlign val="subscript"/>
        <sz val="11"/>
        <rFont val="Arial"/>
        <family val="2"/>
      </rPr>
      <t>INPUTrun</t>
    </r>
  </si>
  <si>
    <t>Not Applicable for DC input</t>
  </si>
  <si>
    <t>SLUC487B</t>
  </si>
  <si>
    <t>For universal line enter 47 Hz</t>
  </si>
  <si>
    <r>
      <t>Maximum Desired Switching Frequency, User must input value not greater than 100 kHz,  f</t>
    </r>
    <r>
      <rPr>
        <vertAlign val="subscript"/>
        <sz val="11"/>
        <color theme="1"/>
        <rFont val="Arial"/>
        <family val="2"/>
      </rPr>
      <t>max</t>
    </r>
    <r>
      <rPr>
        <sz val="11"/>
        <color theme="1"/>
        <rFont val="Arial"/>
        <family val="2"/>
      </rPr>
      <t xml:space="preserve"> =</t>
    </r>
  </si>
  <si>
    <r>
      <t>Initial estimate for L</t>
    </r>
    <r>
      <rPr>
        <vertAlign val="subscript"/>
        <sz val="11"/>
        <rFont val="Arial"/>
        <family val="2"/>
      </rPr>
      <t>P</t>
    </r>
    <r>
      <rPr>
        <sz val="11"/>
        <rFont val="Arial"/>
        <family val="2"/>
      </rPr>
      <t/>
    </r>
  </si>
  <si>
    <r>
      <t>L</t>
    </r>
    <r>
      <rPr>
        <vertAlign val="subscript"/>
        <sz val="11"/>
        <rFont val="Arial"/>
        <family val="2"/>
      </rPr>
      <t>P_estimate</t>
    </r>
    <r>
      <rPr>
        <sz val="11"/>
        <rFont val="Arial"/>
        <family val="2"/>
      </rPr>
      <t xml:space="preserve"> =</t>
    </r>
  </si>
  <si>
    <t>Peak Primary Current, Minimum, Full Load</t>
  </si>
  <si>
    <r>
      <t>I</t>
    </r>
    <r>
      <rPr>
        <vertAlign val="subscript"/>
        <sz val="11"/>
        <color theme="1"/>
        <rFont val="Arial"/>
        <family val="2"/>
      </rPr>
      <t>PPmin</t>
    </r>
    <r>
      <rPr>
        <sz val="11"/>
        <color theme="1"/>
        <rFont val="Arial"/>
        <family val="2"/>
      </rPr>
      <t xml:space="preserve"> =</t>
    </r>
  </si>
  <si>
    <t>Peak Primary Current, Maximum, Full Load</t>
  </si>
  <si>
    <r>
      <t>I</t>
    </r>
    <r>
      <rPr>
        <vertAlign val="subscript"/>
        <sz val="11"/>
        <color theme="1"/>
        <rFont val="Arial"/>
        <family val="2"/>
      </rPr>
      <t>PPmax</t>
    </r>
    <r>
      <rPr>
        <sz val="11"/>
        <color theme="1"/>
        <rFont val="Arial"/>
        <family val="2"/>
      </rPr>
      <t xml:space="preserve"> =</t>
    </r>
  </si>
  <si>
    <r>
      <t>CURRENT SENSE RESISTOR, R</t>
    </r>
    <r>
      <rPr>
        <b/>
        <i/>
        <vertAlign val="subscript"/>
        <sz val="12"/>
        <color theme="0"/>
        <rFont val="Arial"/>
        <family val="2"/>
      </rPr>
      <t>CS</t>
    </r>
    <r>
      <rPr>
        <b/>
        <i/>
        <sz val="12"/>
        <color theme="0"/>
        <rFont val="Arial"/>
        <family val="2"/>
      </rPr>
      <t>, PEAK PRIMARY CURRENT, I</t>
    </r>
    <r>
      <rPr>
        <b/>
        <i/>
        <vertAlign val="subscript"/>
        <sz val="12"/>
        <color theme="0"/>
        <rFont val="Arial"/>
        <family val="2"/>
      </rPr>
      <t>PP</t>
    </r>
  </si>
  <si>
    <r>
      <t>TRANSFORMER TURNS-RATIO, N</t>
    </r>
    <r>
      <rPr>
        <b/>
        <i/>
        <vertAlign val="subscript"/>
        <sz val="12"/>
        <color theme="0"/>
        <rFont val="Arial"/>
        <family val="2"/>
      </rPr>
      <t>PS</t>
    </r>
  </si>
  <si>
    <r>
      <t>TRANSFORMER PRIMARY INDUCTANCE, L</t>
    </r>
    <r>
      <rPr>
        <b/>
        <i/>
        <vertAlign val="subscript"/>
        <sz val="12"/>
        <color theme="0"/>
        <rFont val="Arial"/>
        <family val="2"/>
      </rPr>
      <t>P</t>
    </r>
  </si>
  <si>
    <r>
      <t>Minimum On-Time, t</t>
    </r>
    <r>
      <rPr>
        <vertAlign val="subscript"/>
        <sz val="11"/>
        <color theme="1"/>
        <rFont val="Arial"/>
        <family val="2"/>
      </rPr>
      <t>CSLEB</t>
    </r>
  </si>
  <si>
    <r>
      <t>L</t>
    </r>
    <r>
      <rPr>
        <vertAlign val="subscript"/>
        <sz val="12"/>
        <color theme="1"/>
        <rFont val="Arial"/>
        <family val="2"/>
      </rPr>
      <t>Pcalc</t>
    </r>
    <r>
      <rPr>
        <sz val="12"/>
        <color theme="1"/>
        <rFont val="Arial"/>
        <family val="2"/>
      </rPr>
      <t xml:space="preserve"> =</t>
    </r>
  </si>
  <si>
    <t>Actual Resonant Frequency During DCM Dead Time</t>
  </si>
  <si>
    <r>
      <t>t</t>
    </r>
    <r>
      <rPr>
        <vertAlign val="subscript"/>
        <sz val="11"/>
        <color theme="1"/>
        <rFont val="Arial"/>
        <family val="2"/>
      </rPr>
      <t>RES_actual</t>
    </r>
    <r>
      <rPr>
        <sz val="11"/>
        <color theme="1"/>
        <rFont val="Arial"/>
        <family val="2"/>
      </rPr>
      <t xml:space="preserve"> =</t>
    </r>
  </si>
  <si>
    <r>
      <t>f</t>
    </r>
    <r>
      <rPr>
        <vertAlign val="subscript"/>
        <sz val="11"/>
        <color theme="1"/>
        <rFont val="Arial"/>
        <family val="2"/>
      </rPr>
      <t>RES_actual</t>
    </r>
    <r>
      <rPr>
        <sz val="11"/>
        <color theme="1"/>
        <rFont val="Arial"/>
        <family val="2"/>
      </rPr>
      <t xml:space="preserve"> =</t>
    </r>
  </si>
  <si>
    <r>
      <rPr>
        <sz val="11"/>
        <rFont val="Calibri"/>
        <family val="2"/>
      </rPr>
      <t>µ</t>
    </r>
    <r>
      <rPr>
        <sz val="11"/>
        <rFont val="Arial"/>
        <family val="2"/>
      </rPr>
      <t>s</t>
    </r>
  </si>
  <si>
    <t>Valley Switching Achieved?</t>
  </si>
  <si>
    <t>YES or NO</t>
  </si>
  <si>
    <r>
      <t>Calculated L</t>
    </r>
    <r>
      <rPr>
        <vertAlign val="subscript"/>
        <sz val="12"/>
        <color theme="1"/>
        <rFont val="Arial"/>
        <family val="2"/>
      </rPr>
      <t>P</t>
    </r>
    <r>
      <rPr>
        <sz val="12"/>
        <color theme="1"/>
        <rFont val="Arial"/>
        <family val="2"/>
      </rPr>
      <t xml:space="preserve"> to meet f</t>
    </r>
    <r>
      <rPr>
        <vertAlign val="subscript"/>
        <sz val="12"/>
        <color theme="1"/>
        <rFont val="Arial"/>
        <family val="2"/>
      </rPr>
      <t>max_target</t>
    </r>
    <r>
      <rPr>
        <sz val="12"/>
        <color theme="1"/>
        <rFont val="Arial"/>
        <family val="2"/>
      </rPr>
      <t xml:space="preserve"> with chosen R</t>
    </r>
    <r>
      <rPr>
        <vertAlign val="subscript"/>
        <sz val="12"/>
        <color theme="1"/>
        <rFont val="Arial"/>
        <family val="2"/>
      </rPr>
      <t>CS</t>
    </r>
  </si>
  <si>
    <t>Actual Estimated Time to First Resonant Valley</t>
  </si>
  <si>
    <r>
      <rPr>
        <b/>
        <sz val="11"/>
        <color theme="1"/>
        <rFont val="Arial"/>
        <family val="2"/>
      </rPr>
      <t>Recommended</t>
    </r>
    <r>
      <rPr>
        <sz val="11"/>
        <color theme="1"/>
        <rFont val="Arial"/>
        <family val="2"/>
      </rPr>
      <t xml:space="preserve"> Primary Inductance to meet t</t>
    </r>
    <r>
      <rPr>
        <vertAlign val="subscript"/>
        <sz val="11"/>
        <color theme="1"/>
        <rFont val="Arial"/>
        <family val="2"/>
      </rPr>
      <t>CSLEB</t>
    </r>
    <r>
      <rPr>
        <sz val="11"/>
        <color theme="1"/>
        <rFont val="Arial"/>
        <family val="2"/>
      </rPr>
      <t xml:space="preserve"> with chosen R</t>
    </r>
    <r>
      <rPr>
        <vertAlign val="subscript"/>
        <sz val="11"/>
        <color theme="1"/>
        <rFont val="Arial"/>
        <family val="2"/>
      </rPr>
      <t>CS</t>
    </r>
  </si>
  <si>
    <r>
      <t>C</t>
    </r>
    <r>
      <rPr>
        <vertAlign val="subscript"/>
        <sz val="11"/>
        <color theme="1"/>
        <rFont val="Arial"/>
        <family val="2"/>
      </rPr>
      <t>FB</t>
    </r>
    <r>
      <rPr>
        <sz val="11"/>
        <color theme="1"/>
        <rFont val="Arial"/>
        <family val="2"/>
      </rPr>
      <t xml:space="preserve"> Used in Calculations</t>
    </r>
  </si>
  <si>
    <r>
      <t>C</t>
    </r>
    <r>
      <rPr>
        <vertAlign val="subscript"/>
        <sz val="11"/>
        <color theme="1"/>
        <rFont val="Arial"/>
        <family val="2"/>
      </rPr>
      <t>FB</t>
    </r>
    <r>
      <rPr>
        <sz val="11"/>
        <color theme="1"/>
        <rFont val="Arial"/>
        <family val="2"/>
      </rPr>
      <t xml:space="preserve"> =</t>
    </r>
  </si>
  <si>
    <r>
      <t>C</t>
    </r>
    <r>
      <rPr>
        <vertAlign val="subscript"/>
        <sz val="11"/>
        <color theme="1"/>
        <rFont val="Arial"/>
        <family val="2"/>
      </rPr>
      <t>Z</t>
    </r>
    <r>
      <rPr>
        <sz val="11"/>
        <color theme="1"/>
        <rFont val="Arial"/>
        <family val="2"/>
      </rPr>
      <t xml:space="preserve"> Used in Calculations</t>
    </r>
  </si>
  <si>
    <r>
      <t>C</t>
    </r>
    <r>
      <rPr>
        <vertAlign val="subscript"/>
        <sz val="11"/>
        <color theme="1"/>
        <rFont val="Arial"/>
        <family val="2"/>
      </rPr>
      <t>Z</t>
    </r>
    <r>
      <rPr>
        <sz val="11"/>
        <color theme="1"/>
        <rFont val="Arial"/>
        <family val="2"/>
      </rPr>
      <t xml:space="preserve"> = </t>
    </r>
  </si>
  <si>
    <t>The importance of using opto feedback should be noted here!</t>
  </si>
  <si>
    <t xml:space="preserve">Actual Output Over Voltage </t>
  </si>
  <si>
    <t>Schematic Label</t>
  </si>
  <si>
    <t>Type</t>
  </si>
  <si>
    <t>Component Name</t>
  </si>
  <si>
    <t>Component Value</t>
  </si>
  <si>
    <t>Comments</t>
  </si>
  <si>
    <t>Bridge Rectifier Diode</t>
  </si>
  <si>
    <t>Diode</t>
  </si>
  <si>
    <t>D1</t>
  </si>
  <si>
    <t>Dclamp</t>
  </si>
  <si>
    <t>Dout</t>
  </si>
  <si>
    <t>Daux</t>
  </si>
  <si>
    <t>Cbulk1</t>
  </si>
  <si>
    <t>Capacitor</t>
  </si>
  <si>
    <t>Cbulk2</t>
  </si>
  <si>
    <t>Cout1</t>
  </si>
  <si>
    <t>Cout2</t>
  </si>
  <si>
    <t>Cext</t>
  </si>
  <si>
    <t>Cvdd</t>
  </si>
  <si>
    <t>Cfb</t>
  </si>
  <si>
    <t>Css431</t>
  </si>
  <si>
    <t>Cz</t>
  </si>
  <si>
    <t>Rtl</t>
  </si>
  <si>
    <t>Resistor</t>
  </si>
  <si>
    <t>Rinj</t>
  </si>
  <si>
    <t>Ropt</t>
  </si>
  <si>
    <t>Rfb1</t>
  </si>
  <si>
    <t>Rfb2</t>
  </si>
  <si>
    <t>Rvs1</t>
  </si>
  <si>
    <t>Rvs2</t>
  </si>
  <si>
    <t>Rvdd</t>
  </si>
  <si>
    <t>Rfb3</t>
  </si>
  <si>
    <t>Rfb4</t>
  </si>
  <si>
    <t>Rlc</t>
  </si>
  <si>
    <t>Rcs</t>
  </si>
  <si>
    <t>Lbulk</t>
  </si>
  <si>
    <t>Inductor</t>
  </si>
  <si>
    <t>Lout</t>
  </si>
  <si>
    <t>Transformer</t>
  </si>
  <si>
    <t>IC</t>
  </si>
  <si>
    <t>Precision Rectifier</t>
  </si>
  <si>
    <t>Minimum Quantity</t>
  </si>
  <si>
    <t>SMPS Transformer</t>
  </si>
  <si>
    <t>https://www.digikey.ca/product-detail/en/wurth-electronics-midcom/750871011/732-2256-ND/2208832</t>
  </si>
  <si>
    <t>732-2256-ND</t>
  </si>
  <si>
    <t>Opto-Isolator</t>
  </si>
  <si>
    <t>IPP65R190C7FKSA1</t>
  </si>
  <si>
    <t>IPP65R190C7FKSA1-ND</t>
  </si>
  <si>
    <t>https://www.digikey.ca/products/en?keywords=IPP65R190C7</t>
  </si>
  <si>
    <t>See calculations</t>
  </si>
  <si>
    <t>https://www.components-store.com/product/CEL(California-Eastern-Laboratories)/PS2811-4-A.html</t>
  </si>
  <si>
    <t>PS2811-4-A</t>
  </si>
  <si>
    <t>https://www.digikey.com/product-detail/en/texas-instruments/LMV431CM5-NOPB/LMV431CM5-NOPBCT-ND/364387</t>
  </si>
  <si>
    <t>Supplier Part Number</t>
  </si>
  <si>
    <t>LMV431CM5/NOPB</t>
  </si>
  <si>
    <t>LMV431CM5/NOPBCT-ND</t>
  </si>
  <si>
    <t>Controller</t>
  </si>
  <si>
    <t>https://www.digikey.com/product-detail/en/texas-instruments/UCC28740D/296-36516-5-ND/4311723</t>
  </si>
  <si>
    <t>296-36516-5-ND</t>
  </si>
  <si>
    <t>UCC28740D</t>
  </si>
  <si>
    <t>N/A</t>
  </si>
  <si>
    <t>Not used</t>
  </si>
  <si>
    <t>This might be american shipping</t>
  </si>
  <si>
    <t>470µH</t>
  </si>
  <si>
    <t>https://www.digikey.com/products/en?keywords=74437529203471</t>
  </si>
  <si>
    <t>Input Inductor</t>
  </si>
  <si>
    <t>732-11719-ND</t>
  </si>
  <si>
    <t>https://www.digikey.ca/product-detail/en/diodes-incorporated/HD04-T/HD04DICT-ND/278737?utm_adgroup=Semiconductor+Modules&amp;mkwid=sDbCSyMlJ&amp;pcrid=267488348557&amp;pkw=&amp;pmt=b&amp;pdv=c&amp;productid=&amp;slid=&amp;gclid=EAIaIQobChMI6LrD35Pt5QIVzJyzCh0bVQPDEAAYASAAEgKQXfD_BwE</t>
  </si>
  <si>
    <t>HD04-T</t>
  </si>
  <si>
    <t>HD04DICT-ND</t>
  </si>
  <si>
    <t>Flyback Transformer</t>
  </si>
  <si>
    <t>Switch</t>
  </si>
  <si>
    <t>Rectifier</t>
  </si>
  <si>
    <t>Full Bridge Recitifier</t>
  </si>
  <si>
    <t>Ultra Fast Diode</t>
  </si>
  <si>
    <t>Fuse</t>
  </si>
  <si>
    <t>https://www.digikey.ca/product-detail/en/on-semiconductor/MRA4007T3G/MRA4007T3GOSTR-ND/919869</t>
  </si>
  <si>
    <t>MRA4007T3G</t>
  </si>
  <si>
    <t>MRA4007T3GOSTR-ND</t>
  </si>
  <si>
    <t xml:space="preserve">may need to add resistance to negative primary </t>
  </si>
  <si>
    <t>Extras:</t>
  </si>
  <si>
    <t>Ground Couping</t>
  </si>
  <si>
    <t>http://www.ti.com/lit/df/slurao5/slurao5.pdf</t>
  </si>
  <si>
    <t>https://www.digikey.ca/product-detail/en/littelfuse-inc/SMBJ220CA/SMBJ220CALFCT-ND/825058</t>
  </si>
  <si>
    <t>SMBJ220CALFCT-ND</t>
  </si>
  <si>
    <t>SMBJ220CA</t>
  </si>
  <si>
    <t>https://www.digikey.ca/product-detail/en/toshiba-semiconductor-and-storage/CMS06-TE12LQM/CMS06QMCT-ND/871539</t>
  </si>
  <si>
    <t>used same diode from webench generation</t>
  </si>
  <si>
    <t>Output Schottky Diode</t>
  </si>
  <si>
    <t>CMS06(TE12L,Q,M)</t>
  </si>
  <si>
    <t>CMS06QMCT-ND</t>
  </si>
  <si>
    <t>Link to supplier's part page</t>
  </si>
  <si>
    <t>used same diode from webench generation, well above this calculators rated values</t>
  </si>
  <si>
    <t>https://www.digikey.ca/product-detail/en/smc-diode-solutions/SK19TR/SK19TRSMC-ND/5993503</t>
  </si>
  <si>
    <t>SK19TRSMC-ND</t>
  </si>
  <si>
    <t>SK19TR</t>
  </si>
  <si>
    <t>Auxiliary Schottky Diode</t>
  </si>
  <si>
    <t>Lots of choices, just took the first one</t>
  </si>
  <si>
    <t>https://www.digikey.ca/product-detail/en/bel-fuse-inc/RST-500-AMMO/507-1722-1-ND/8020802</t>
  </si>
  <si>
    <t>507-1722-1-ND</t>
  </si>
  <si>
    <t>RST 500 AMMO</t>
  </si>
  <si>
    <t>Aluminum Electrolytic Capacitor</t>
  </si>
  <si>
    <t>this is the smallest size capacitor at our rated conditions</t>
  </si>
  <si>
    <t>493-16683-ND</t>
  </si>
  <si>
    <t>UBX2G4R7MPL</t>
  </si>
  <si>
    <t>https://www.digikey.ca/product-detail/en/nichicon/UBX2G4R7MPL/493-16683-ND/2597608</t>
  </si>
  <si>
    <t>https://www.digikey.ca/product-detail/en/nichicon/UBX2G4R7MPL/493-16683-ND/2597609</t>
  </si>
  <si>
    <t>Not sure about this</t>
  </si>
  <si>
    <t>https://www.digikey.ca/product-detail/en/nichicon/UBY2A951MHL/493-17792-ND/9452726</t>
  </si>
  <si>
    <t>much greater than voltage rating</t>
  </si>
  <si>
    <t>493-17792-ND</t>
  </si>
  <si>
    <t>UBY2A951MHL</t>
  </si>
  <si>
    <t>Ceramic Capacitor</t>
  </si>
  <si>
    <t>CGA6P3X7S1H685K250AB</t>
  </si>
  <si>
    <t>445-7003-1-ND</t>
  </si>
  <si>
    <t>https://www.digikey.ca/product-detail/en/tdk-corporation/CGA6P3X7S1H685K250AB/445-7003-1-ND/2673021</t>
  </si>
  <si>
    <t>https://www.digikey.ca/product-detail/en/yageo/CC0402KRX7R8BB473/311-1717-1-ND/5195619</t>
  </si>
  <si>
    <t>CC0402KRX7R8BB473</t>
  </si>
  <si>
    <t>311-1717-1-ND</t>
  </si>
  <si>
    <t>C0402C105K4PAC7867</t>
  </si>
  <si>
    <t>399-12289-1-ND</t>
  </si>
  <si>
    <t>https://www.digikey.ca/product-detail/en/kemet/C0402C105K4PAC7867/399-12289-1-ND/5423012</t>
  </si>
  <si>
    <t>https://www.digikey.ca/product-detail/en/murata-electronics/GRM022R71A271KA01L/490-8618-1-ND/4519319</t>
  </si>
  <si>
    <t>GRM022R71A271KA01L</t>
  </si>
  <si>
    <t>490-8618-1-ND</t>
  </si>
  <si>
    <t>Mouser has available parts, fmax on this calculator seems wrong?, turns ratio slightly insufficient based off of smallest capacitor available off the shelf</t>
  </si>
  <si>
    <t>https://www.digikey.ca/product-detail/en/vishay-dale/CRCW12063R09FKEA/541-3.09FFCT-ND/1962279</t>
  </si>
  <si>
    <t>Chip Resistor - Surface Mount</t>
  </si>
  <si>
    <t>541-3.09FFCT-ND</t>
  </si>
  <si>
    <t>CRCW12063R09FKEA</t>
  </si>
  <si>
    <t>https://www.digikey.ca/product-detail/en/vishay-dale/CRCW0603536KFKEA/541-536KHTR-ND/1174979</t>
  </si>
  <si>
    <t>541-536KHTR-ND</t>
  </si>
  <si>
    <t>CRCW0603536KFKEA</t>
  </si>
  <si>
    <t>https://www.digikey.ca/product-detail/en/stackpole-electronics-inc/RMCF0603FT178K/RMCF0603FT178KTR-ND/1713674</t>
  </si>
  <si>
    <t>RMCF0603FT178KTR-ND</t>
  </si>
  <si>
    <t>RMCF0603FT178K</t>
  </si>
  <si>
    <t>https://www.digikey.ca/product-detail/en/vishay-beyschlag/MCS04020C1003FE000/MCS0402-100K-CFCT-ND/2607930</t>
  </si>
  <si>
    <t>MCS0402-100K-CFCT-ND</t>
  </si>
  <si>
    <t>MCS04020C1003FE000</t>
  </si>
  <si>
    <t>https://www.digikey.ca/product-detail/en/panasonic-electronic-components/ERA-3AEB2152V/P21.5KDBCT-ND/3075861</t>
  </si>
  <si>
    <t>P21.5KDBCT-ND</t>
  </si>
  <si>
    <t>ERA-3AEB2152V</t>
  </si>
  <si>
    <t>https://www.digikey.ca/product-detail/en/stackpole-electronics-inc/RMCF0603FT20R0/RMCF0603FT20R0CT-ND/1942945</t>
  </si>
  <si>
    <t>RMCF0603FT20R0CT-ND</t>
  </si>
  <si>
    <t>RMCF0603FT20R0</t>
  </si>
  <si>
    <t>Manufacturer Part Number</t>
  </si>
  <si>
    <t>https://www.digikey.ca/product-detail/en/koa-speer-electronics-inc/RK73H1ETTP6490F/2019-RK73H1ETTP6490FCT-ND/9846591</t>
  </si>
  <si>
    <t>2019-RK73H1ETTP6490FCT-ND</t>
  </si>
  <si>
    <t>RK73H1ETTP6490F</t>
  </si>
  <si>
    <t>https://www.digikey.ca/product-detail/en/yageo/RC0603FR-071KL/311-1.00KHRCT-ND/729790</t>
  </si>
  <si>
    <t>311-1.00KHRCT-ND</t>
  </si>
  <si>
    <t>RC0603FR-071KL</t>
  </si>
  <si>
    <t>https://www.digikey.ca/product-detail/en/yageo/RC0603FR-071K5L/311-1.50KHRCT-ND/729811</t>
  </si>
  <si>
    <t>311-1.50KHRCT-ND</t>
  </si>
  <si>
    <t>RC0603FR-071K5L</t>
  </si>
  <si>
    <t>Went for 50 ohms instead of 2, I do not have a mathematical reason for doing this other than the fact that I thought we could suffer the efficiency drop</t>
  </si>
  <si>
    <t>https://www.digikey.ca/product-detail/en/vishay-dale/CRCW060350R0FKEA/541-3318-1-ND/6684924</t>
  </si>
  <si>
    <t>541-3318-1-ND</t>
  </si>
  <si>
    <t>CRCW060350R0FKEA</t>
  </si>
  <si>
    <t>https://www.digikey.ca/product-detail/en/stackpole-electronics-inc/RMCF0603FT59K0/RMCF0603FT59K0CT-ND/4425114</t>
  </si>
  <si>
    <t>MCF0603FT59K0CT-ND</t>
  </si>
  <si>
    <t>RMCF0603FT59K0</t>
  </si>
  <si>
    <t>RMCF0603FT28K7TR-ND</t>
  </si>
  <si>
    <t>RMCF0603FT28K7</t>
  </si>
  <si>
    <t>https://www.digikey.ca/product-detail/en/stackpole-electronics-inc/RMCF0603FT28K7/RMCF0603FT28K7TR-ND/1760833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</si>
</sst>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E+00"/>
    <numFmt numFmtId="166" formatCode="#\ ?/10"/>
    <numFmt numFmtId="167" formatCode="0.0000"/>
    <numFmt numFmtId="168" formatCode="[&lt;=9999999]###\-####;###\-###\-####"/>
  </numFmts>
  <fonts count="45">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0"/>
      <color indexed="10"/>
      <name val="Arial"/>
      <family val="2"/>
    </font>
    <font>
      <b/>
      <sz val="11"/>
      <color rgb="FFFF0000"/>
      <name val="Arial"/>
      <family val="2"/>
    </font>
    <font>
      <b/>
      <sz val="16"/>
      <color theme="1"/>
      <name val="Arial"/>
      <family val="2"/>
    </font>
    <font>
      <b/>
      <sz val="14"/>
      <color theme="0"/>
      <name val="Arial"/>
      <family val="2"/>
    </font>
    <font>
      <b/>
      <i/>
      <vertAlign val="subscript"/>
      <sz val="11"/>
      <color theme="0"/>
      <name val="Arial"/>
      <family val="2"/>
    </font>
    <font>
      <b/>
      <i/>
      <sz val="16"/>
      <color theme="0"/>
      <name val="Arial"/>
      <family val="2"/>
    </font>
    <font>
      <sz val="11"/>
      <name val="Arial"/>
      <family val="2"/>
    </font>
    <font>
      <b/>
      <sz val="11"/>
      <color theme="0"/>
      <name val="Arial"/>
      <family val="2"/>
    </font>
    <font>
      <b/>
      <vertAlign val="subscript"/>
      <sz val="11"/>
      <color theme="0"/>
      <name val="Arial"/>
      <family val="2"/>
    </font>
    <font>
      <sz val="11"/>
      <color theme="1"/>
      <name val="Calibri"/>
      <family val="2"/>
    </font>
    <font>
      <b/>
      <sz val="14"/>
      <name val="Arial"/>
      <family val="2"/>
    </font>
    <font>
      <b/>
      <sz val="22"/>
      <color theme="0"/>
      <name val="Arial"/>
      <family val="2"/>
    </font>
    <font>
      <vertAlign val="subscript"/>
      <sz val="11"/>
      <name val="Arial"/>
      <family val="2"/>
    </font>
    <font>
      <b/>
      <i/>
      <vertAlign val="subscript"/>
      <sz val="12"/>
      <color theme="0"/>
      <name val="Arial"/>
      <family val="2"/>
    </font>
    <font>
      <b/>
      <sz val="11"/>
      <name val="Arial"/>
      <family val="2"/>
    </font>
    <font>
      <sz val="11"/>
      <name val="Calibri"/>
      <family val="2"/>
    </font>
    <font>
      <b/>
      <vertAlign val="subscript"/>
      <sz val="11"/>
      <color theme="1"/>
      <name val="Arial"/>
      <family val="2"/>
    </font>
    <font>
      <b/>
      <vertAlign val="subscript"/>
      <sz val="11"/>
      <name val="Arial"/>
      <family val="2"/>
    </font>
    <font>
      <sz val="10"/>
      <name val="Arial"/>
      <family val="2"/>
    </font>
    <font>
      <b/>
      <sz val="14"/>
      <color theme="1"/>
      <name val="Arial"/>
      <family val="2"/>
    </font>
    <font>
      <b/>
      <sz val="14"/>
      <color theme="6"/>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0"/>
      <color theme="1"/>
      <name val="Arial"/>
      <family val="2"/>
    </font>
    <font>
      <b/>
      <sz val="10"/>
      <name val="Arial"/>
      <family val="2"/>
    </font>
    <font>
      <b/>
      <sz val="9"/>
      <name val="Arial"/>
      <family val="2"/>
    </font>
    <font>
      <sz val="9"/>
      <name val="Calibri"/>
      <family val="3"/>
      <charset val="134"/>
      <scheme val="minor"/>
    </font>
    <font>
      <sz val="12"/>
      <name val="Arial"/>
      <family val="2"/>
    </font>
    <font>
      <vertAlign val="subscript"/>
      <sz val="12"/>
      <name val="Arial"/>
      <family val="2"/>
    </font>
    <font>
      <u/>
      <sz val="11"/>
      <color theme="10"/>
      <name val="Calibri"/>
      <family val="2"/>
      <scheme val="minor"/>
    </font>
    <font>
      <sz val="9"/>
      <color rgb="FF444444"/>
      <name val="Arial"/>
      <family val="2"/>
    </font>
    <font>
      <sz val="9"/>
      <color rgb="FF222222"/>
      <name val="Arial"/>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rgb="FFDDFFDD"/>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42" fillId="0" borderId="0" applyNumberFormat="0" applyFill="0" applyBorder="0" applyAlignment="0" applyProtection="0"/>
  </cellStyleXfs>
  <cellXfs count="490">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25" xfId="0" applyFont="1" applyFill="1" applyBorder="1" applyAlignment="1">
      <alignment vertical="center"/>
    </xf>
    <xf numFmtId="0" fontId="3" fillId="2" borderId="8" xfId="0" applyFont="1" applyFill="1" applyBorder="1" applyAlignment="1">
      <alignment vertical="center" wrapText="1"/>
    </xf>
    <xf numFmtId="2"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0" borderId="0" xfId="0" applyFont="1"/>
    <xf numFmtId="0" fontId="3" fillId="0" borderId="8" xfId="0" applyFont="1" applyBorder="1" applyAlignment="1">
      <alignment vertical="center" wrapText="1"/>
    </xf>
    <xf numFmtId="0" fontId="3" fillId="2" borderId="0" xfId="0" applyFont="1" applyFill="1"/>
    <xf numFmtId="0" fontId="3" fillId="2" borderId="37"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5" borderId="40" xfId="0" applyFont="1" applyFill="1" applyBorder="1" applyAlignment="1">
      <alignment vertical="center"/>
    </xf>
    <xf numFmtId="164" fontId="3" fillId="5" borderId="31" xfId="0" applyNumberFormat="1" applyFont="1" applyFill="1" applyBorder="1" applyAlignment="1">
      <alignment vertical="center"/>
    </xf>
    <xf numFmtId="0" fontId="3" fillId="2" borderId="22" xfId="0" applyFont="1" applyFill="1" applyBorder="1" applyAlignment="1">
      <alignment vertical="center" wrapText="1"/>
    </xf>
    <xf numFmtId="164" fontId="3" fillId="2" borderId="0" xfId="0" applyNumberFormat="1" applyFont="1" applyFill="1" applyAlignment="1">
      <alignment vertical="center"/>
    </xf>
    <xf numFmtId="164" fontId="16" fillId="2" borderId="5" xfId="0" applyNumberFormat="1" applyFont="1" applyFill="1" applyBorder="1" applyAlignment="1">
      <alignment vertical="center"/>
    </xf>
    <xf numFmtId="164" fontId="3" fillId="2" borderId="5" xfId="0" applyNumberFormat="1" applyFont="1" applyFill="1" applyBorder="1" applyAlignment="1">
      <alignment vertical="center"/>
    </xf>
    <xf numFmtId="0" fontId="3" fillId="2" borderId="35" xfId="0" applyFont="1" applyFill="1" applyBorder="1" applyAlignment="1">
      <alignment vertical="center"/>
    </xf>
    <xf numFmtId="164" fontId="3" fillId="2" borderId="34" xfId="0" applyNumberFormat="1" applyFont="1" applyFill="1" applyBorder="1" applyAlignment="1">
      <alignment vertical="center"/>
    </xf>
    <xf numFmtId="0" fontId="3" fillId="2" borderId="11" xfId="0" applyFont="1" applyFill="1" applyBorder="1" applyAlignment="1">
      <alignment horizontal="center" vertical="center"/>
    </xf>
    <xf numFmtId="0" fontId="3" fillId="5" borderId="8" xfId="0" applyFont="1" applyFill="1" applyBorder="1" applyAlignment="1">
      <alignment vertical="center"/>
    </xf>
    <xf numFmtId="164" fontId="3" fillId="2" borderId="11" xfId="0" applyNumberFormat="1" applyFont="1" applyFill="1" applyBorder="1" applyAlignment="1">
      <alignment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2" xfId="0" applyFont="1" applyFill="1" applyBorder="1" applyAlignment="1">
      <alignment horizontal="center" vertical="center"/>
    </xf>
    <xf numFmtId="0" fontId="3" fillId="5" borderId="3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5" borderId="5" xfId="0" applyFont="1" applyFill="1" applyBorder="1" applyAlignment="1">
      <alignment vertical="center"/>
    </xf>
    <xf numFmtId="164" fontId="3" fillId="5" borderId="5" xfId="0" applyNumberFormat="1" applyFont="1" applyFill="1" applyBorder="1" applyAlignment="1">
      <alignment vertical="center"/>
    </xf>
    <xf numFmtId="0" fontId="3" fillId="2" borderId="40" xfId="0" applyFont="1" applyFill="1" applyBorder="1" applyAlignment="1">
      <alignment vertical="center"/>
    </xf>
    <xf numFmtId="0" fontId="3" fillId="2" borderId="0" xfId="0" applyFont="1" applyFill="1" applyBorder="1" applyAlignment="1">
      <alignment horizontal="center" vertical="center"/>
    </xf>
    <xf numFmtId="164" fontId="3" fillId="2" borderId="0" xfId="0" applyNumberFormat="1" applyFont="1" applyFill="1" applyBorder="1" applyAlignment="1">
      <alignment vertical="center"/>
    </xf>
    <xf numFmtId="0" fontId="16" fillId="2" borderId="5" xfId="0" applyFont="1" applyFill="1" applyBorder="1" applyAlignment="1">
      <alignment horizontal="right" vertical="center"/>
    </xf>
    <xf numFmtId="0" fontId="3" fillId="2" borderId="0" xfId="0" applyFont="1" applyFill="1" applyBorder="1" applyAlignment="1">
      <alignment horizontal="left" vertical="center"/>
    </xf>
    <xf numFmtId="0" fontId="3" fillId="2" borderId="32" xfId="0" applyFont="1" applyFill="1" applyBorder="1" applyAlignment="1">
      <alignment horizontal="center" vertical="center"/>
    </xf>
    <xf numFmtId="2" fontId="3" fillId="2" borderId="31" xfId="0" applyNumberFormat="1" applyFont="1" applyFill="1" applyBorder="1" applyAlignment="1">
      <alignment vertical="center"/>
    </xf>
    <xf numFmtId="0" fontId="3" fillId="5" borderId="30" xfId="0" applyFont="1" applyFill="1" applyBorder="1" applyAlignment="1">
      <alignment horizontal="center" vertical="center"/>
    </xf>
    <xf numFmtId="0" fontId="9" fillId="4" borderId="26" xfId="0" applyFont="1" applyFill="1" applyBorder="1" applyAlignment="1">
      <alignment vertical="center" wrapText="1"/>
    </xf>
    <xf numFmtId="0" fontId="16" fillId="2" borderId="46" xfId="0" applyFont="1" applyFill="1" applyBorder="1" applyAlignment="1">
      <alignment horizontal="left" vertical="center"/>
    </xf>
    <xf numFmtId="0" fontId="16" fillId="2" borderId="47" xfId="0" applyFont="1" applyFill="1" applyBorder="1" applyAlignment="1">
      <alignment horizontal="center" vertical="center"/>
    </xf>
    <xf numFmtId="0" fontId="16" fillId="2" borderId="44" xfId="0" applyFont="1" applyFill="1" applyBorder="1" applyAlignment="1">
      <alignment horizontal="right" vertical="center"/>
    </xf>
    <xf numFmtId="0" fontId="3" fillId="5" borderId="10" xfId="0" applyFont="1" applyFill="1" applyBorder="1" applyAlignment="1">
      <alignment vertical="center"/>
    </xf>
    <xf numFmtId="0" fontId="3" fillId="5" borderId="11" xfId="0" applyFont="1" applyFill="1" applyBorder="1" applyAlignment="1">
      <alignment horizontal="center" vertical="center"/>
    </xf>
    <xf numFmtId="0" fontId="3" fillId="2" borderId="22" xfId="0" applyFont="1" applyFill="1" applyBorder="1" applyAlignment="1">
      <alignment vertical="center"/>
    </xf>
    <xf numFmtId="0" fontId="16" fillId="2" borderId="0" xfId="0" applyFont="1" applyFill="1" applyAlignment="1">
      <alignment vertical="center"/>
    </xf>
    <xf numFmtId="0" fontId="3" fillId="2" borderId="40" xfId="0" applyFont="1" applyFill="1" applyBorder="1" applyAlignment="1">
      <alignment vertical="center" wrapText="1"/>
    </xf>
    <xf numFmtId="164" fontId="3" fillId="2" borderId="31" xfId="0" applyNumberFormat="1" applyFont="1" applyFill="1" applyBorder="1" applyAlignment="1">
      <alignment vertical="center"/>
    </xf>
    <xf numFmtId="0" fontId="3" fillId="2" borderId="23" xfId="0" applyFont="1" applyFill="1" applyBorder="1" applyAlignment="1">
      <alignment vertical="center"/>
    </xf>
    <xf numFmtId="0" fontId="5" fillId="2" borderId="26" xfId="0" applyFont="1" applyFill="1" applyBorder="1" applyAlignment="1">
      <alignment vertical="center"/>
    </xf>
    <xf numFmtId="0" fontId="16" fillId="2" borderId="8" xfId="0" applyFont="1" applyFill="1" applyBorder="1" applyAlignment="1">
      <alignment horizontal="left" vertical="center"/>
    </xf>
    <xf numFmtId="0" fontId="3" fillId="0" borderId="22" xfId="0" applyFont="1" applyBorder="1" applyAlignment="1">
      <alignment horizontal="left" vertical="center"/>
    </xf>
    <xf numFmtId="0" fontId="3" fillId="2" borderId="25" xfId="0" applyFont="1" applyFill="1" applyBorder="1" applyAlignment="1">
      <alignment vertical="center" wrapText="1"/>
    </xf>
    <xf numFmtId="164" fontId="3" fillId="2" borderId="0" xfId="0" applyNumberFormat="1" applyFont="1" applyFill="1" applyAlignment="1">
      <alignment horizontal="right" vertical="center" wrapText="1"/>
    </xf>
    <xf numFmtId="0" fontId="3" fillId="2" borderId="5" xfId="0" applyFont="1" applyFill="1" applyBorder="1" applyAlignment="1">
      <alignment horizontal="right" vertical="center" wrapText="1"/>
    </xf>
    <xf numFmtId="164" fontId="3" fillId="2" borderId="5" xfId="0" applyNumberFormat="1" applyFont="1" applyFill="1" applyBorder="1" applyAlignment="1">
      <alignment horizontal="right" vertical="center" wrapText="1"/>
    </xf>
    <xf numFmtId="0" fontId="16" fillId="2" borderId="22" xfId="0" applyFont="1" applyFill="1" applyBorder="1" applyAlignment="1">
      <alignment vertical="center"/>
    </xf>
    <xf numFmtId="0" fontId="9" fillId="4" borderId="27" xfId="0" applyFont="1" applyFill="1" applyBorder="1" applyAlignment="1">
      <alignment vertical="center" wrapText="1"/>
    </xf>
    <xf numFmtId="0" fontId="3" fillId="2" borderId="10" xfId="0" applyFont="1" applyFill="1" applyBorder="1" applyAlignment="1">
      <alignment horizontal="left" vertical="center" wrapText="1"/>
    </xf>
    <xf numFmtId="0" fontId="16" fillId="5" borderId="8" xfId="0" applyFont="1" applyFill="1" applyBorder="1" applyAlignment="1">
      <alignment vertical="center"/>
    </xf>
    <xf numFmtId="0" fontId="16" fillId="5" borderId="5" xfId="0" applyFont="1" applyFill="1" applyBorder="1" applyAlignment="1">
      <alignment vertical="center"/>
    </xf>
    <xf numFmtId="0" fontId="16" fillId="5" borderId="33" xfId="0" applyFont="1" applyFill="1" applyBorder="1" applyAlignment="1">
      <alignment horizontal="center" vertical="center"/>
    </xf>
    <xf numFmtId="164" fontId="16" fillId="5" borderId="5" xfId="0" applyNumberFormat="1" applyFont="1" applyFill="1" applyBorder="1" applyAlignment="1">
      <alignment horizontal="right" vertical="center"/>
    </xf>
    <xf numFmtId="0" fontId="16" fillId="5" borderId="8" xfId="0" applyFont="1" applyFill="1" applyBorder="1" applyAlignment="1">
      <alignment horizontal="left" vertical="center"/>
    </xf>
    <xf numFmtId="0" fontId="3" fillId="2" borderId="0" xfId="0" applyFont="1" applyFill="1" applyAlignment="1">
      <alignment vertical="center" wrapText="1"/>
    </xf>
    <xf numFmtId="0" fontId="16" fillId="2" borderId="8" xfId="0" applyFont="1" applyFill="1" applyBorder="1" applyAlignment="1">
      <alignment vertical="center"/>
    </xf>
    <xf numFmtId="0" fontId="3" fillId="2" borderId="5" xfId="0" applyFont="1" applyFill="1" applyBorder="1" applyAlignment="1">
      <alignment horizontal="center" vertical="center"/>
    </xf>
    <xf numFmtId="0" fontId="16" fillId="2" borderId="5" xfId="0" applyFont="1" applyFill="1" applyBorder="1" applyAlignment="1">
      <alignment horizontal="left" vertical="center"/>
    </xf>
    <xf numFmtId="0" fontId="3" fillId="2" borderId="22" xfId="0" applyFont="1" applyFill="1" applyBorder="1" applyAlignment="1">
      <alignment vertical="center"/>
    </xf>
    <xf numFmtId="0" fontId="3" fillId="2" borderId="5" xfId="0" applyFont="1" applyFill="1" applyBorder="1" applyAlignment="1">
      <alignment horizontal="center" vertical="center"/>
    </xf>
    <xf numFmtId="0" fontId="9" fillId="2" borderId="16" xfId="0" applyFont="1" applyFill="1" applyBorder="1" applyAlignment="1">
      <alignment vertical="center"/>
    </xf>
    <xf numFmtId="0" fontId="3" fillId="2" borderId="22" xfId="0" applyFont="1" applyFill="1" applyBorder="1"/>
    <xf numFmtId="0" fontId="16" fillId="2" borderId="5" xfId="0" applyFont="1" applyFill="1" applyBorder="1" applyAlignment="1">
      <alignment vertical="center"/>
    </xf>
    <xf numFmtId="0" fontId="9" fillId="2" borderId="8" xfId="0" applyFont="1" applyFill="1" applyBorder="1" applyAlignment="1">
      <alignment vertical="center"/>
    </xf>
    <xf numFmtId="0" fontId="9" fillId="2" borderId="5" xfId="0" applyFont="1" applyFill="1" applyBorder="1" applyAlignment="1">
      <alignment horizontal="center" vertical="center"/>
    </xf>
    <xf numFmtId="164" fontId="9" fillId="2" borderId="5" xfId="0" applyNumberFormat="1" applyFont="1" applyFill="1" applyBorder="1" applyAlignment="1">
      <alignment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164" fontId="9" fillId="2" borderId="50" xfId="0" applyNumberFormat="1" applyFont="1" applyFill="1" applyBorder="1" applyAlignment="1">
      <alignment vertical="center"/>
    </xf>
    <xf numFmtId="0" fontId="24" fillId="2" borderId="11" xfId="0" applyFont="1" applyFill="1" applyBorder="1" applyAlignment="1">
      <alignment horizontal="center" vertical="center"/>
    </xf>
    <xf numFmtId="164" fontId="24" fillId="2" borderId="11"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3" fillId="2" borderId="24" xfId="0" applyFont="1" applyFill="1" applyBorder="1" applyAlignment="1">
      <alignment vertical="center"/>
    </xf>
    <xf numFmtId="0" fontId="3" fillId="5" borderId="22" xfId="0" applyFont="1" applyFill="1" applyBorder="1" applyAlignment="1">
      <alignment vertical="center"/>
    </xf>
    <xf numFmtId="0" fontId="9" fillId="4" borderId="29" xfId="0" applyFont="1" applyFill="1" applyBorder="1" applyAlignment="1">
      <alignment vertical="center" wrapText="1"/>
    </xf>
    <xf numFmtId="0" fontId="3" fillId="5" borderId="25" xfId="0" applyFont="1" applyFill="1" applyBorder="1" applyAlignment="1">
      <alignment vertical="center"/>
    </xf>
    <xf numFmtId="0" fontId="24" fillId="4" borderId="26" xfId="0" applyFont="1" applyFill="1" applyBorder="1" applyAlignment="1">
      <alignment horizontal="left" vertical="center"/>
    </xf>
    <xf numFmtId="0" fontId="16" fillId="5" borderId="22" xfId="0" applyFont="1" applyFill="1" applyBorder="1" applyAlignment="1">
      <alignment horizontal="left" vertical="center"/>
    </xf>
    <xf numFmtId="0" fontId="3" fillId="5" borderId="5" xfId="0" applyFont="1" applyFill="1" applyBorder="1" applyAlignment="1">
      <alignment horizontal="center" vertical="center"/>
    </xf>
    <xf numFmtId="0" fontId="3" fillId="5" borderId="22" xfId="0" applyFont="1" applyFill="1" applyBorder="1" applyAlignment="1">
      <alignment horizontal="left" vertical="center"/>
    </xf>
    <xf numFmtId="0" fontId="3" fillId="2" borderId="5" xfId="0" applyFont="1" applyFill="1" applyBorder="1" applyAlignment="1">
      <alignment horizontal="center" vertical="center"/>
    </xf>
    <xf numFmtId="0" fontId="24" fillId="2" borderId="10" xfId="0" applyFont="1" applyFill="1" applyBorder="1" applyAlignment="1">
      <alignment horizontal="left" vertical="center"/>
    </xf>
    <xf numFmtId="0" fontId="9" fillId="4" borderId="26" xfId="0" applyFont="1" applyFill="1" applyBorder="1" applyAlignment="1">
      <alignment horizontal="left" vertical="center"/>
    </xf>
    <xf numFmtId="0" fontId="16"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16" fillId="5" borderId="8"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4" xfId="0" applyFont="1" applyFill="1" applyBorder="1" applyAlignment="1">
      <alignment horizontal="right" vertical="center"/>
    </xf>
    <xf numFmtId="0" fontId="16" fillId="5" borderId="34" xfId="0" applyFont="1" applyFill="1" applyBorder="1" applyAlignment="1">
      <alignment horizontal="left" vertical="center"/>
    </xf>
    <xf numFmtId="0" fontId="16" fillId="5" borderId="5" xfId="0" applyFont="1" applyFill="1" applyBorder="1" applyAlignment="1">
      <alignment horizontal="center" vertical="center"/>
    </xf>
    <xf numFmtId="0" fontId="19" fillId="2" borderId="5" xfId="0" applyFont="1" applyFill="1" applyBorder="1" applyAlignment="1">
      <alignment vertical="center"/>
    </xf>
    <xf numFmtId="0" fontId="3" fillId="5" borderId="31" xfId="0" applyFont="1" applyFill="1" applyBorder="1" applyAlignment="1">
      <alignment vertical="center"/>
    </xf>
    <xf numFmtId="0" fontId="19" fillId="5" borderId="22" xfId="0" applyFont="1" applyFill="1" applyBorder="1" applyAlignment="1">
      <alignment vertical="center"/>
    </xf>
    <xf numFmtId="0" fontId="3" fillId="2" borderId="5" xfId="0" applyFont="1" applyFill="1" applyBorder="1" applyAlignment="1">
      <alignment vertical="center"/>
    </xf>
    <xf numFmtId="0" fontId="0" fillId="2" borderId="0" xfId="0" applyFill="1"/>
    <xf numFmtId="0" fontId="3" fillId="4" borderId="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164" fontId="3" fillId="4" borderId="22" xfId="0" applyNumberFormat="1" applyFont="1" applyFill="1" applyBorder="1" applyAlignment="1" applyProtection="1">
      <alignment horizontal="center" vertical="center"/>
      <protection locked="0"/>
    </xf>
    <xf numFmtId="164" fontId="3" fillId="4" borderId="5" xfId="0" applyNumberFormat="1" applyFont="1" applyFill="1" applyBorder="1" applyAlignment="1" applyProtection="1">
      <alignment horizontal="center" vertical="center"/>
      <protection locked="0"/>
    </xf>
    <xf numFmtId="164" fontId="3"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3" fillId="2" borderId="5" xfId="0" applyFont="1" applyFill="1" applyBorder="1" applyProtection="1"/>
    <xf numFmtId="0" fontId="3" fillId="2" borderId="0" xfId="0" applyFont="1" applyFill="1" applyProtection="1"/>
    <xf numFmtId="165" fontId="3" fillId="2" borderId="5" xfId="0" applyNumberFormat="1" applyFont="1" applyFill="1" applyBorder="1" applyProtection="1"/>
    <xf numFmtId="0" fontId="10" fillId="2" borderId="0" xfId="0" applyFont="1" applyFill="1" applyBorder="1" applyAlignment="1" applyProtection="1">
      <alignment horizontal="center" wrapText="1"/>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3" fillId="2" borderId="0" xfId="0" applyFont="1" applyFill="1" applyAlignment="1" applyProtection="1">
      <alignment horizontal="center" wrapText="1"/>
    </xf>
    <xf numFmtId="0" fontId="19" fillId="2" borderId="0" xfId="0" applyFont="1" applyFill="1" applyProtection="1"/>
    <xf numFmtId="0" fontId="28" fillId="2" borderId="0" xfId="0" applyFont="1" applyFill="1" applyBorder="1" applyAlignment="1" applyProtection="1">
      <alignment vertical="center"/>
    </xf>
    <xf numFmtId="0" fontId="31" fillId="2" borderId="0" xfId="0" applyFont="1" applyFill="1" applyAlignment="1">
      <alignment vertical="center"/>
    </xf>
    <xf numFmtId="0" fontId="31" fillId="2" borderId="22" xfId="0" applyFont="1" applyFill="1" applyBorder="1" applyAlignment="1">
      <alignment vertical="center"/>
    </xf>
    <xf numFmtId="0" fontId="31" fillId="2" borderId="23" xfId="0" applyFont="1" applyFill="1" applyBorder="1" applyAlignment="1">
      <alignment vertical="center"/>
    </xf>
    <xf numFmtId="0" fontId="31" fillId="2" borderId="54" xfId="0" applyFont="1" applyFill="1" applyBorder="1" applyAlignment="1">
      <alignment vertical="center"/>
    </xf>
    <xf numFmtId="0" fontId="31" fillId="2" borderId="25" xfId="0" applyFont="1" applyFill="1" applyBorder="1" applyAlignment="1">
      <alignment vertical="center"/>
    </xf>
    <xf numFmtId="0" fontId="31" fillId="2" borderId="20" xfId="0" applyFont="1" applyFill="1" applyBorder="1" applyAlignment="1">
      <alignment vertical="center"/>
    </xf>
    <xf numFmtId="164" fontId="31" fillId="2" borderId="28" xfId="0" applyNumberFormat="1" applyFont="1" applyFill="1" applyBorder="1" applyAlignment="1">
      <alignment vertical="center"/>
    </xf>
    <xf numFmtId="0" fontId="31" fillId="2" borderId="39" xfId="0" applyFont="1" applyFill="1" applyBorder="1" applyAlignment="1">
      <alignment horizontal="left" vertical="center"/>
    </xf>
    <xf numFmtId="164" fontId="31" fillId="2" borderId="23" xfId="0" applyNumberFormat="1" applyFont="1" applyFill="1" applyBorder="1" applyAlignment="1">
      <alignment vertical="center"/>
    </xf>
    <xf numFmtId="0" fontId="31" fillId="2" borderId="21" xfId="0" applyFont="1" applyFill="1" applyBorder="1" applyAlignment="1">
      <alignment vertical="center"/>
    </xf>
    <xf numFmtId="0" fontId="29" fillId="2" borderId="10" xfId="0" applyFont="1" applyFill="1" applyBorder="1" applyAlignment="1">
      <alignment vertical="center"/>
    </xf>
    <xf numFmtId="0" fontId="3" fillId="4" borderId="5" xfId="0" applyFont="1" applyFill="1" applyBorder="1" applyAlignment="1" applyProtection="1">
      <alignment horizontal="center" vertical="center"/>
      <protection locked="0"/>
    </xf>
    <xf numFmtId="0" fontId="31" fillId="2" borderId="38" xfId="0" applyFont="1" applyFill="1" applyBorder="1" applyAlignment="1">
      <alignment vertical="center"/>
    </xf>
    <xf numFmtId="0" fontId="31" fillId="2" borderId="43" xfId="0" applyFont="1" applyFill="1" applyBorder="1" applyAlignment="1">
      <alignment vertical="center"/>
    </xf>
    <xf numFmtId="0" fontId="31" fillId="2" borderId="7" xfId="0" applyFont="1" applyFill="1" applyBorder="1" applyAlignment="1">
      <alignment vertical="center"/>
    </xf>
    <xf numFmtId="0" fontId="31" fillId="2" borderId="0" xfId="0" applyFont="1" applyFill="1" applyBorder="1" applyAlignment="1">
      <alignment vertical="center"/>
    </xf>
    <xf numFmtId="164" fontId="31" fillId="2" borderId="22" xfId="0" applyNumberFormat="1" applyFont="1" applyFill="1" applyBorder="1" applyAlignment="1">
      <alignment vertical="center"/>
    </xf>
    <xf numFmtId="164" fontId="31" fillId="2" borderId="20" xfId="0" applyNumberFormat="1" applyFont="1" applyFill="1" applyBorder="1" applyAlignment="1">
      <alignment vertical="center"/>
    </xf>
    <xf numFmtId="0" fontId="31" fillId="2" borderId="42" xfId="0" applyFont="1" applyFill="1" applyBorder="1" applyAlignment="1">
      <alignment vertical="center"/>
    </xf>
    <xf numFmtId="0" fontId="31" fillId="2" borderId="28" xfId="0" applyFont="1" applyFill="1" applyBorder="1" applyAlignment="1">
      <alignment vertical="center"/>
    </xf>
    <xf numFmtId="0" fontId="31" fillId="2" borderId="26" xfId="0" applyFont="1" applyFill="1" applyBorder="1" applyAlignment="1">
      <alignment vertical="center"/>
    </xf>
    <xf numFmtId="0" fontId="33" fillId="2" borderId="16" xfId="0" applyFont="1" applyFill="1" applyBorder="1" applyAlignment="1">
      <alignment horizontal="center" vertical="center"/>
    </xf>
    <xf numFmtId="0" fontId="31" fillId="2" borderId="29" xfId="0" applyFont="1" applyFill="1" applyBorder="1" applyAlignment="1">
      <alignment vertical="center"/>
    </xf>
    <xf numFmtId="0" fontId="31" fillId="2" borderId="20" xfId="0" applyFont="1" applyFill="1" applyBorder="1" applyAlignment="1">
      <alignment horizontal="right" vertical="center"/>
    </xf>
    <xf numFmtId="0" fontId="35" fillId="2" borderId="43" xfId="0" applyFont="1" applyFill="1" applyBorder="1" applyAlignment="1">
      <alignment vertical="center"/>
    </xf>
    <xf numFmtId="0" fontId="31" fillId="2" borderId="28" xfId="0" applyFont="1" applyFill="1" applyBorder="1" applyAlignment="1">
      <alignment horizontal="right" vertical="center"/>
    </xf>
    <xf numFmtId="0" fontId="35" fillId="2" borderId="20" xfId="0" applyFont="1" applyFill="1" applyBorder="1" applyAlignment="1">
      <alignment vertical="center"/>
    </xf>
    <xf numFmtId="0" fontId="33" fillId="2" borderId="56" xfId="0" applyFont="1" applyFill="1" applyBorder="1" applyAlignment="1">
      <alignment horizontal="center" vertical="center"/>
    </xf>
    <xf numFmtId="0" fontId="31" fillId="2" borderId="45" xfId="0" applyFont="1" applyFill="1" applyBorder="1" applyAlignment="1">
      <alignment vertical="center"/>
    </xf>
    <xf numFmtId="0" fontId="31" fillId="2" borderId="17" xfId="0" applyFont="1" applyFill="1" applyBorder="1" applyAlignment="1">
      <alignment vertical="center"/>
    </xf>
    <xf numFmtId="166" fontId="31" fillId="2" borderId="28" xfId="0" applyNumberFormat="1" applyFont="1" applyFill="1" applyBorder="1" applyAlignment="1">
      <alignment vertical="center"/>
    </xf>
    <xf numFmtId="0" fontId="31" fillId="2" borderId="7" xfId="0" applyNumberFormat="1" applyFont="1" applyFill="1" applyBorder="1" applyAlignment="1">
      <alignment vertical="center"/>
    </xf>
    <xf numFmtId="0" fontId="31" fillId="2" borderId="7" xfId="0" applyFont="1" applyFill="1" applyBorder="1" applyAlignment="1">
      <alignment horizontal="left" vertical="center"/>
    </xf>
    <xf numFmtId="0" fontId="31" fillId="2" borderId="18" xfId="0" applyFont="1" applyFill="1" applyBorder="1" applyAlignment="1">
      <alignment vertical="center"/>
    </xf>
    <xf numFmtId="0" fontId="31" fillId="2" borderId="54" xfId="0" applyFont="1" applyFill="1" applyBorder="1" applyAlignment="1">
      <alignment horizontal="left" vertical="center"/>
    </xf>
    <xf numFmtId="0" fontId="31" fillId="2" borderId="26" xfId="0" applyFont="1" applyFill="1" applyBorder="1" applyAlignment="1">
      <alignment horizontal="left" vertical="center"/>
    </xf>
    <xf numFmtId="0" fontId="31" fillId="2" borderId="28" xfId="0" applyNumberFormat="1" applyFont="1" applyFill="1" applyBorder="1" applyAlignment="1">
      <alignment vertical="center"/>
    </xf>
    <xf numFmtId="0" fontId="31" fillId="2" borderId="23" xfId="0" applyNumberFormat="1" applyFont="1" applyFill="1" applyBorder="1" applyAlignment="1">
      <alignment vertical="center"/>
    </xf>
    <xf numFmtId="0" fontId="31" fillId="2" borderId="23" xfId="0" applyFont="1" applyFill="1" applyBorder="1" applyAlignment="1">
      <alignment horizontal="left" vertical="center"/>
    </xf>
    <xf numFmtId="0" fontId="1"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2" borderId="0" xfId="0" applyFont="1" applyFill="1" applyAlignment="1">
      <alignment horizontal="right" vertical="center" wrapText="1"/>
    </xf>
    <xf numFmtId="0" fontId="38" fillId="2" borderId="0" xfId="0" applyFont="1" applyFill="1" applyAlignment="1">
      <alignment horizontal="right" vertical="center" wrapText="1"/>
    </xf>
    <xf numFmtId="0" fontId="38" fillId="2" borderId="0" xfId="0" applyFont="1" applyFill="1" applyAlignment="1">
      <alignment horizontal="left" vertical="center" wrapText="1"/>
    </xf>
    <xf numFmtId="0" fontId="11" fillId="2" borderId="0" xfId="0" applyFont="1" applyFill="1" applyAlignment="1">
      <alignment vertical="center"/>
    </xf>
    <xf numFmtId="0" fontId="3" fillId="4" borderId="5"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xf>
    <xf numFmtId="0" fontId="16" fillId="2" borderId="5" xfId="0" applyFont="1" applyFill="1" applyBorder="1" applyAlignment="1">
      <alignment horizontal="left" vertical="center"/>
    </xf>
    <xf numFmtId="0" fontId="3" fillId="5" borderId="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horizontal="center" vertical="center"/>
    </xf>
    <xf numFmtId="167" fontId="3" fillId="2" borderId="5" xfId="0" applyNumberFormat="1" applyFont="1" applyFill="1" applyBorder="1" applyAlignment="1">
      <alignment vertical="center"/>
    </xf>
    <xf numFmtId="0" fontId="17" fillId="0" borderId="53" xfId="0" applyFont="1" applyFill="1" applyBorder="1" applyAlignment="1">
      <alignment horizontal="left" vertical="center"/>
    </xf>
    <xf numFmtId="164" fontId="3" fillId="2" borderId="5" xfId="0" applyNumberFormat="1" applyFont="1" applyFill="1" applyBorder="1" applyAlignment="1">
      <alignment horizontal="center" vertical="center" wrapText="1"/>
    </xf>
    <xf numFmtId="0" fontId="3" fillId="2" borderId="22"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16" fillId="5" borderId="5" xfId="0" applyFont="1" applyFill="1" applyBorder="1" applyAlignment="1">
      <alignment horizontal="center" vertical="center"/>
    </xf>
    <xf numFmtId="0" fontId="24" fillId="0" borderId="58" xfId="0" applyFont="1" applyFill="1" applyBorder="1" applyAlignment="1">
      <alignment horizontal="left" vertical="center"/>
    </xf>
    <xf numFmtId="0" fontId="16" fillId="2" borderId="59" xfId="0" applyFont="1" applyFill="1" applyBorder="1" applyAlignment="1">
      <alignment horizontal="left" vertical="center"/>
    </xf>
    <xf numFmtId="0" fontId="16" fillId="2" borderId="0" xfId="0" applyFont="1" applyFill="1" applyAlignment="1">
      <alignment horizontal="center" vertical="center"/>
    </xf>
    <xf numFmtId="0" fontId="40" fillId="2" borderId="34" xfId="0" applyFont="1" applyFill="1" applyBorder="1" applyAlignment="1">
      <alignment horizontal="center" vertical="center"/>
    </xf>
    <xf numFmtId="0" fontId="3" fillId="5" borderId="11" xfId="0" applyFont="1" applyFill="1" applyBorder="1" applyAlignment="1">
      <alignment horizontal="right" vertical="center"/>
    </xf>
    <xf numFmtId="0" fontId="9" fillId="2" borderId="22" xfId="0" applyFont="1" applyFill="1" applyBorder="1" applyAlignment="1">
      <alignment vertical="center"/>
    </xf>
    <xf numFmtId="0" fontId="9" fillId="2" borderId="26" xfId="0" applyFont="1" applyFill="1" applyBorder="1" applyAlignment="1">
      <alignment vertical="center" wrapText="1"/>
    </xf>
    <xf numFmtId="164" fontId="3" fillId="2" borderId="5" xfId="0" applyNumberFormat="1" applyFont="1" applyFill="1" applyBorder="1" applyAlignment="1">
      <alignment horizontal="right" vertical="center"/>
    </xf>
    <xf numFmtId="164" fontId="3" fillId="4" borderId="31" xfId="0" applyNumberFormat="1" applyFont="1" applyFill="1" applyBorder="1" applyAlignment="1" applyProtection="1">
      <alignment horizontal="center" vertical="center"/>
      <protection locked="0"/>
    </xf>
    <xf numFmtId="2" fontId="3" fillId="2" borderId="0" xfId="0" applyNumberFormat="1" applyFont="1" applyFill="1" applyProtection="1"/>
    <xf numFmtId="164" fontId="3" fillId="2" borderId="11" xfId="0" applyNumberFormat="1" applyFont="1" applyFill="1" applyBorder="1" applyAlignment="1">
      <alignment horizontal="righ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5" xfId="0" applyFont="1" applyFill="1" applyBorder="1" applyAlignment="1">
      <alignment horizontal="center" vertical="center"/>
    </xf>
    <xf numFmtId="0" fontId="9"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16" fillId="2" borderId="5" xfId="0" applyFont="1" applyFill="1" applyBorder="1" applyAlignment="1">
      <alignment horizontal="center" vertical="center"/>
    </xf>
    <xf numFmtId="0" fontId="9" fillId="2" borderId="26" xfId="0" applyFont="1" applyFill="1" applyBorder="1" applyAlignment="1">
      <alignment horizontal="left" vertical="center"/>
    </xf>
    <xf numFmtId="0" fontId="16" fillId="2" borderId="53" xfId="0" applyFont="1" applyFill="1" applyBorder="1" applyAlignment="1">
      <alignment vertical="center"/>
    </xf>
    <xf numFmtId="0" fontId="16" fillId="2" borderId="60" xfId="0" applyFont="1" applyFill="1" applyBorder="1" applyAlignment="1">
      <alignment vertical="center"/>
    </xf>
    <xf numFmtId="0" fontId="16" fillId="2" borderId="26" xfId="0" applyFont="1" applyFill="1" applyBorder="1" applyAlignment="1">
      <alignment vertical="center"/>
    </xf>
    <xf numFmtId="164" fontId="3" fillId="5" borderId="24" xfId="0" applyNumberFormat="1" applyFont="1" applyFill="1" applyBorder="1" applyAlignment="1">
      <alignment vertical="center"/>
    </xf>
    <xf numFmtId="0" fontId="3" fillId="2" borderId="26" xfId="0" applyFont="1" applyFill="1" applyBorder="1" applyAlignment="1">
      <alignment horizontal="left" vertical="center"/>
    </xf>
    <xf numFmtId="0" fontId="3" fillId="2" borderId="5" xfId="0" applyFont="1" applyFill="1" applyBorder="1" applyAlignment="1">
      <alignment horizontal="center"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16"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16" fillId="5" borderId="5" xfId="0" applyFont="1" applyFill="1" applyBorder="1" applyAlignment="1">
      <alignment horizontal="center" vertical="center"/>
    </xf>
    <xf numFmtId="0" fontId="16" fillId="5" borderId="8" xfId="0" applyFont="1" applyFill="1" applyBorder="1" applyAlignment="1">
      <alignment horizontal="left" vertical="center" wrapText="1"/>
    </xf>
    <xf numFmtId="164" fontId="16" fillId="2" borderId="5" xfId="0" applyNumberFormat="1" applyFont="1" applyFill="1" applyBorder="1" applyAlignment="1">
      <alignment horizontal="right" vertical="center"/>
    </xf>
    <xf numFmtId="0" fontId="9" fillId="4" borderId="26" xfId="0" applyFont="1" applyFill="1" applyBorder="1" applyAlignment="1">
      <alignment horizontal="left" vertical="center"/>
    </xf>
    <xf numFmtId="0" fontId="31" fillId="0" borderId="5" xfId="0" applyFont="1" applyFill="1" applyBorder="1" applyAlignment="1">
      <alignment horizontal="center" vertical="center"/>
    </xf>
    <xf numFmtId="0" fontId="11" fillId="2" borderId="26" xfId="0" applyFont="1" applyFill="1" applyBorder="1" applyAlignment="1">
      <alignment vertical="center" wrapText="1"/>
    </xf>
    <xf numFmtId="0" fontId="31" fillId="0" borderId="5" xfId="0" applyFont="1" applyFill="1" applyBorder="1" applyAlignment="1">
      <alignment horizontal="left" vertical="center"/>
    </xf>
    <xf numFmtId="164" fontId="11" fillId="2" borderId="5" xfId="0" applyNumberFormat="1" applyFont="1" applyFill="1" applyBorder="1" applyAlignment="1">
      <alignment horizontal="right" vertical="center"/>
    </xf>
    <xf numFmtId="0" fontId="9" fillId="2" borderId="26" xfId="0" applyFont="1" applyFill="1" applyBorder="1" applyAlignment="1">
      <alignment vertical="center"/>
    </xf>
    <xf numFmtId="0" fontId="3" fillId="5" borderId="0" xfId="0" applyFont="1" applyFill="1" applyBorder="1" applyAlignment="1">
      <alignment vertical="center"/>
    </xf>
    <xf numFmtId="0" fontId="9" fillId="4" borderId="26" xfId="0" applyFont="1" applyFill="1" applyBorder="1" applyAlignment="1">
      <alignment vertical="center"/>
    </xf>
    <xf numFmtId="0" fontId="16" fillId="2" borderId="8" xfId="0" applyFont="1" applyFill="1" applyBorder="1" applyAlignment="1">
      <alignment vertical="center" wrapText="1"/>
    </xf>
    <xf numFmtId="0" fontId="9" fillId="5" borderId="26" xfId="0" applyFont="1" applyFill="1" applyBorder="1" applyAlignment="1">
      <alignment vertical="center"/>
    </xf>
    <xf numFmtId="0" fontId="24" fillId="2" borderId="8" xfId="0" applyFont="1" applyFill="1" applyBorder="1" applyAlignment="1">
      <alignment vertical="center"/>
    </xf>
    <xf numFmtId="0" fontId="3" fillId="5" borderId="40" xfId="0" applyFont="1" applyFill="1" applyBorder="1" applyAlignment="1">
      <alignment vertical="center" wrapText="1"/>
    </xf>
    <xf numFmtId="2" fontId="3" fillId="2" borderId="5" xfId="0" applyNumberFormat="1" applyFont="1" applyFill="1" applyBorder="1" applyAlignment="1" applyProtection="1">
      <alignment horizontal="center" vertical="center"/>
      <protection locked="0"/>
    </xf>
    <xf numFmtId="0" fontId="42" fillId="0" borderId="0" xfId="1"/>
    <xf numFmtId="0" fontId="43" fillId="0" borderId="0" xfId="0" applyFont="1"/>
    <xf numFmtId="0" fontId="43" fillId="8" borderId="0" xfId="0" applyFont="1" applyFill="1" applyAlignment="1">
      <alignment horizontal="left" vertical="center" wrapText="1"/>
    </xf>
    <xf numFmtId="0" fontId="44" fillId="0" borderId="0" xfId="0" applyFont="1"/>
    <xf numFmtId="168" fontId="43" fillId="0" borderId="0" xfId="0" applyNumberFormat="1" applyFont="1"/>
    <xf numFmtId="0" fontId="0" fillId="0" borderId="0" xfId="0" applyFont="1"/>
    <xf numFmtId="0" fontId="3" fillId="2" borderId="42" xfId="0" applyFont="1" applyFill="1" applyBorder="1" applyAlignment="1">
      <alignment horizontal="left" vertical="center"/>
    </xf>
    <xf numFmtId="0" fontId="3" fillId="2" borderId="12" xfId="0" applyFont="1" applyFill="1" applyBorder="1" applyAlignment="1">
      <alignment horizontal="left" vertical="center"/>
    </xf>
    <xf numFmtId="0" fontId="3" fillId="2" borderId="30" xfId="0" applyFont="1" applyFill="1" applyBorder="1" applyAlignment="1">
      <alignment horizontal="left" vertical="center"/>
    </xf>
    <xf numFmtId="0" fontId="3" fillId="2" borderId="9" xfId="0" applyFont="1" applyFill="1" applyBorder="1" applyAlignment="1">
      <alignment horizontal="left" vertical="center"/>
    </xf>
    <xf numFmtId="0" fontId="17" fillId="3" borderId="37" xfId="0" applyFont="1" applyFill="1" applyBorder="1" applyAlignment="1">
      <alignment horizontal="left" vertical="center"/>
    </xf>
    <xf numFmtId="0" fontId="17" fillId="3" borderId="38" xfId="0" applyFont="1" applyFill="1" applyBorder="1" applyAlignment="1">
      <alignment horizontal="left" vertical="center"/>
    </xf>
    <xf numFmtId="0" fontId="17" fillId="3" borderId="39" xfId="0" applyFont="1" applyFill="1" applyBorder="1" applyAlignment="1">
      <alignment horizontal="left" vertical="center"/>
    </xf>
    <xf numFmtId="0" fontId="17" fillId="3" borderId="35"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36"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horizontal="left" vertical="center"/>
    </xf>
    <xf numFmtId="0" fontId="5" fillId="2" borderId="23"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5" fillId="2" borderId="3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41"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27" xfId="0" applyFont="1" applyFill="1" applyBorder="1" applyAlignment="1">
      <alignment horizontal="lef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6" fillId="2" borderId="23"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3" xfId="0" applyFont="1" applyFill="1" applyBorder="1" applyAlignment="1">
      <alignment horizontal="left" vertical="center"/>
    </xf>
    <xf numFmtId="0" fontId="16" fillId="2" borderId="26"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4"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 xfId="0" applyFont="1" applyFill="1" applyBorder="1" applyAlignment="1">
      <alignment horizontal="center" vertical="center"/>
    </xf>
    <xf numFmtId="0" fontId="4" fillId="3" borderId="1"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3" fillId="2" borderId="22" xfId="0" applyFont="1" applyFill="1" applyBorder="1" applyAlignment="1">
      <alignment horizontal="left" vertical="center"/>
    </xf>
    <xf numFmtId="0" fontId="5" fillId="2" borderId="23" xfId="0" applyFont="1" applyFill="1" applyBorder="1" applyAlignment="1">
      <alignment horizontal="left" vertical="center"/>
    </xf>
    <xf numFmtId="0" fontId="5" fillId="2" borderId="26" xfId="0" applyFont="1" applyFill="1" applyBorder="1" applyAlignment="1">
      <alignment horizontal="left" vertical="center"/>
    </xf>
    <xf numFmtId="0" fontId="15" fillId="2" borderId="0" xfId="0" applyFont="1" applyFill="1" applyBorder="1" applyAlignment="1">
      <alignment horizontal="center" vertical="center"/>
    </xf>
    <xf numFmtId="0" fontId="1" fillId="3" borderId="0" xfId="0" applyFont="1" applyFill="1" applyAlignment="1">
      <alignment horizontal="center" vertical="center" wrapText="1"/>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0" fontId="5"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3" fillId="2" borderId="31" xfId="0" applyFont="1" applyFill="1" applyBorder="1" applyAlignment="1">
      <alignment horizontal="left" vertical="center"/>
    </xf>
    <xf numFmtId="0" fontId="3" fillId="2" borderId="11" xfId="0" applyFont="1" applyFill="1" applyBorder="1" applyAlignment="1">
      <alignment horizontal="left" vertical="center"/>
    </xf>
    <xf numFmtId="0" fontId="11"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45" xfId="0" applyFont="1" applyFill="1" applyBorder="1" applyAlignment="1">
      <alignment horizontal="center" vertical="center"/>
    </xf>
    <xf numFmtId="0" fontId="17" fillId="3" borderId="5" xfId="0" applyFont="1" applyFill="1" applyBorder="1" applyAlignment="1">
      <alignment horizontal="left" vertical="center"/>
    </xf>
    <xf numFmtId="0" fontId="16" fillId="2" borderId="6" xfId="0" applyFont="1" applyFill="1" applyBorder="1" applyAlignment="1">
      <alignment horizontal="left" vertical="center"/>
    </xf>
    <xf numFmtId="0" fontId="16" fillId="2" borderId="27" xfId="0" applyFont="1" applyFill="1" applyBorder="1" applyAlignment="1">
      <alignment horizontal="left" vertical="center"/>
    </xf>
    <xf numFmtId="0" fontId="3" fillId="2" borderId="5" xfId="0" applyFont="1" applyFill="1" applyBorder="1" applyAlignment="1">
      <alignment horizontal="center" vertical="center"/>
    </xf>
    <xf numFmtId="0" fontId="19" fillId="2" borderId="5"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16" fillId="2" borderId="22" xfId="0" applyFont="1" applyFill="1" applyBorder="1" applyAlignment="1">
      <alignment horizontal="left" vertical="center"/>
    </xf>
    <xf numFmtId="0" fontId="16" fillId="2" borderId="30" xfId="0" applyFont="1" applyFill="1" applyBorder="1" applyAlignment="1">
      <alignment horizontal="left" vertical="center"/>
    </xf>
    <xf numFmtId="0" fontId="31" fillId="2" borderId="43" xfId="0" applyFont="1" applyFill="1" applyBorder="1" applyAlignment="1">
      <alignment horizontal="left" vertical="center"/>
    </xf>
    <xf numFmtId="0" fontId="31" fillId="2" borderId="38" xfId="0" applyFont="1" applyFill="1" applyBorder="1" applyAlignment="1">
      <alignment horizontal="left" vertical="center"/>
    </xf>
    <xf numFmtId="0" fontId="31" fillId="2" borderId="39" xfId="0" applyFont="1" applyFill="1" applyBorder="1" applyAlignment="1">
      <alignment horizontal="left" vertical="center"/>
    </xf>
    <xf numFmtId="0" fontId="31" fillId="7" borderId="16"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10" xfId="0" applyFont="1" applyFill="1" applyBorder="1" applyAlignment="1">
      <alignment horizontal="center" vertical="center"/>
    </xf>
    <xf numFmtId="0" fontId="31" fillId="2" borderId="42" xfId="0" applyFont="1" applyFill="1" applyBorder="1" applyAlignment="1">
      <alignment horizontal="left" vertical="center"/>
    </xf>
    <xf numFmtId="0" fontId="31" fillId="2" borderId="12" xfId="0" applyFont="1" applyFill="1" applyBorder="1" applyAlignment="1">
      <alignment horizontal="left" vertical="center"/>
    </xf>
    <xf numFmtId="0" fontId="33" fillId="2" borderId="8" xfId="0" applyFont="1" applyFill="1" applyBorder="1" applyAlignment="1">
      <alignment horizontal="center" vertical="center"/>
    </xf>
    <xf numFmtId="0" fontId="31" fillId="2" borderId="30" xfId="0" applyFont="1" applyFill="1" applyBorder="1" applyAlignment="1">
      <alignment horizontal="left" vertical="center"/>
    </xf>
    <xf numFmtId="0" fontId="31" fillId="2" borderId="9" xfId="0" applyFont="1" applyFill="1" applyBorder="1" applyAlignment="1">
      <alignment horizontal="left" vertical="center"/>
    </xf>
    <xf numFmtId="0" fontId="33" fillId="2" borderId="55" xfId="0" applyFont="1" applyFill="1" applyBorder="1" applyAlignment="1">
      <alignment horizontal="center" vertical="center"/>
    </xf>
    <xf numFmtId="0" fontId="33" fillId="2" borderId="49" xfId="0" applyFont="1" applyFill="1" applyBorder="1" applyAlignment="1">
      <alignment horizontal="center" vertical="center"/>
    </xf>
    <xf numFmtId="0" fontId="31" fillId="2" borderId="28" xfId="0" applyFont="1" applyFill="1" applyBorder="1" applyAlignment="1">
      <alignment horizontal="left" vertical="center"/>
    </xf>
    <xf numFmtId="0" fontId="31" fillId="2" borderId="29" xfId="0" applyFont="1" applyFill="1" applyBorder="1" applyAlignment="1">
      <alignment horizontal="left" vertical="center"/>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164" fontId="31" fillId="2" borderId="20" xfId="0" applyNumberFormat="1" applyFont="1" applyFill="1" applyBorder="1" applyAlignment="1">
      <alignment horizontal="left" vertical="center"/>
    </xf>
    <xf numFmtId="164" fontId="31" fillId="2" borderId="21" xfId="0" applyNumberFormat="1" applyFont="1" applyFill="1" applyBorder="1" applyAlignment="1">
      <alignment horizontal="left" vertical="center"/>
    </xf>
    <xf numFmtId="0" fontId="31" fillId="2" borderId="52" xfId="0" applyFont="1" applyFill="1" applyBorder="1" applyAlignment="1">
      <alignment horizontal="left" vertical="center"/>
    </xf>
    <xf numFmtId="0" fontId="31" fillId="2" borderId="57" xfId="0" applyFont="1" applyFill="1" applyBorder="1" applyAlignment="1">
      <alignment horizontal="left" vertical="center"/>
    </xf>
    <xf numFmtId="0" fontId="36" fillId="2" borderId="39"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1" fillId="2" borderId="20" xfId="0" applyFont="1" applyFill="1" applyBorder="1" applyAlignment="1">
      <alignment horizontal="left" vertical="center"/>
    </xf>
    <xf numFmtId="0" fontId="31" fillId="2" borderId="21" xfId="0" applyFont="1" applyFill="1" applyBorder="1" applyAlignment="1">
      <alignment horizontal="left" vertical="center"/>
    </xf>
    <xf numFmtId="0" fontId="31" fillId="2" borderId="42"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29" fillId="2" borderId="11" xfId="0" applyFont="1" applyFill="1" applyBorder="1" applyAlignment="1">
      <alignment horizontal="left" vertical="center"/>
    </xf>
    <xf numFmtId="0" fontId="29" fillId="2" borderId="12" xfId="0" applyFont="1" applyFill="1" applyBorder="1" applyAlignment="1">
      <alignment horizontal="left" vertical="center"/>
    </xf>
    <xf numFmtId="0" fontId="31"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39" xfId="0" applyFont="1" applyFill="1" applyBorder="1" applyAlignment="1">
      <alignment horizontal="center" vertical="center"/>
    </xf>
    <xf numFmtId="0" fontId="8" fillId="3" borderId="37" xfId="0" applyFont="1" applyFill="1" applyBorder="1" applyAlignment="1">
      <alignment horizontal="left" vertical="center"/>
    </xf>
    <xf numFmtId="0" fontId="8" fillId="3" borderId="38" xfId="0" applyFont="1" applyFill="1" applyBorder="1" applyAlignment="1">
      <alignment horizontal="left" vertical="center"/>
    </xf>
    <xf numFmtId="0" fontId="8" fillId="3" borderId="39" xfId="0" applyFont="1" applyFill="1" applyBorder="1" applyAlignment="1">
      <alignment horizontal="left" vertical="center"/>
    </xf>
    <xf numFmtId="0" fontId="3" fillId="2" borderId="8" xfId="0" applyFont="1" applyFill="1" applyBorder="1" applyAlignment="1">
      <alignment horizontal="left" vertical="center" wrapText="1"/>
    </xf>
    <xf numFmtId="164" fontId="3" fillId="2" borderId="5" xfId="0" applyNumberFormat="1" applyFont="1" applyFill="1" applyBorder="1" applyAlignment="1">
      <alignment horizontal="right" vertical="center"/>
    </xf>
    <xf numFmtId="0" fontId="3" fillId="5" borderId="8" xfId="0" applyFont="1" applyFill="1" applyBorder="1" applyAlignment="1">
      <alignment horizontal="left" vertical="center" wrapText="1"/>
    </xf>
    <xf numFmtId="0" fontId="9" fillId="4" borderId="26" xfId="0" applyFont="1" applyFill="1" applyBorder="1" applyAlignment="1">
      <alignment horizontal="left" vertical="center"/>
    </xf>
    <xf numFmtId="0" fontId="3" fillId="5" borderId="31" xfId="0" applyFont="1" applyFill="1" applyBorder="1" applyAlignment="1">
      <alignment horizontal="center" vertical="center"/>
    </xf>
    <xf numFmtId="0" fontId="3" fillId="5" borderId="34" xfId="0" applyFont="1" applyFill="1" applyBorder="1" applyAlignment="1">
      <alignment horizontal="center" vertical="center"/>
    </xf>
    <xf numFmtId="164" fontId="3" fillId="5" borderId="31" xfId="0" applyNumberFormat="1" applyFont="1" applyFill="1" applyBorder="1" applyAlignment="1">
      <alignment horizontal="right" vertical="center"/>
    </xf>
    <xf numFmtId="164" fontId="3" fillId="5" borderId="34" xfId="0" applyNumberFormat="1" applyFont="1" applyFill="1" applyBorder="1" applyAlignment="1">
      <alignment horizontal="right" vertical="center"/>
    </xf>
    <xf numFmtId="0" fontId="3" fillId="5" borderId="24" xfId="0" applyFont="1" applyFill="1" applyBorder="1" applyAlignment="1">
      <alignment horizontal="left" vertical="center"/>
    </xf>
    <xf numFmtId="0" fontId="3" fillId="5" borderId="53" xfId="0" applyFont="1" applyFill="1" applyBorder="1" applyAlignment="1">
      <alignment horizontal="left" vertical="center"/>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4" fillId="2" borderId="8" xfId="0" applyFont="1" applyFill="1" applyBorder="1" applyAlignment="1">
      <alignment horizontal="left" vertical="center"/>
    </xf>
    <xf numFmtId="0" fontId="24" fillId="2" borderId="10" xfId="0" applyFont="1" applyFill="1" applyBorder="1" applyAlignment="1">
      <alignment horizontal="left" vertical="center"/>
    </xf>
    <xf numFmtId="0" fontId="16" fillId="2" borderId="8" xfId="0" applyFont="1" applyFill="1" applyBorder="1" applyAlignment="1">
      <alignment horizontal="left" vertical="center" wrapText="1"/>
    </xf>
    <xf numFmtId="0" fontId="3" fillId="2" borderId="5" xfId="0" applyFont="1" applyFill="1" applyBorder="1" applyAlignment="1">
      <alignment horizontal="right" vertical="center"/>
    </xf>
    <xf numFmtId="0" fontId="24" fillId="5" borderId="8" xfId="0" applyFont="1" applyFill="1" applyBorder="1" applyAlignment="1">
      <alignment horizontal="left"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16" fillId="2" borderId="27"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24" xfId="0" applyFont="1" applyFill="1" applyBorder="1" applyAlignment="1">
      <alignment horizontal="left" vertical="center"/>
    </xf>
    <xf numFmtId="0" fontId="16" fillId="2" borderId="53" xfId="0" applyFont="1" applyFill="1" applyBorder="1" applyAlignment="1">
      <alignment horizontal="left" vertical="center"/>
    </xf>
    <xf numFmtId="0" fontId="16" fillId="5" borderId="5" xfId="0" applyFont="1" applyFill="1" applyBorder="1" applyAlignment="1">
      <alignment horizontal="right" vertical="center" wrapText="1"/>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9" fillId="2" borderId="48" xfId="0" applyFont="1" applyFill="1" applyBorder="1" applyAlignment="1">
      <alignment horizontal="left" vertical="center"/>
    </xf>
    <xf numFmtId="0" fontId="9" fillId="2" borderId="4"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1" fillId="2" borderId="22" xfId="0" applyFont="1" applyFill="1" applyBorder="1" applyAlignment="1">
      <alignment horizontal="center" vertical="center"/>
    </xf>
    <xf numFmtId="0" fontId="11" fillId="2" borderId="26" xfId="0" applyFont="1" applyFill="1" applyBorder="1" applyAlignment="1">
      <alignment horizontal="center" vertical="center"/>
    </xf>
    <xf numFmtId="0" fontId="9" fillId="2" borderId="5" xfId="0" applyFont="1" applyFill="1" applyBorder="1" applyAlignment="1">
      <alignment horizontal="left" vertical="center"/>
    </xf>
    <xf numFmtId="0" fontId="9" fillId="2" borderId="9" xfId="0" applyFont="1" applyFill="1" applyBorder="1" applyAlignment="1">
      <alignment horizontal="left" vertical="center"/>
    </xf>
    <xf numFmtId="0" fontId="9" fillId="4" borderId="41"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3" fillId="2" borderId="53" xfId="0" applyFont="1" applyFill="1" applyBorder="1" applyAlignment="1">
      <alignment horizontal="left" vertical="center"/>
    </xf>
    <xf numFmtId="0" fontId="3" fillId="2" borderId="60" xfId="0" applyFont="1" applyFill="1" applyBorder="1" applyAlignment="1">
      <alignment horizontal="left"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40" fillId="2" borderId="22" xfId="0" applyFont="1" applyFill="1" applyBorder="1" applyAlignment="1">
      <alignment horizontal="left" vertical="center"/>
    </xf>
    <xf numFmtId="0" fontId="40" fillId="2" borderId="26" xfId="0" applyFont="1" applyFill="1" applyBorder="1" applyAlignment="1">
      <alignment horizontal="left" vertical="center"/>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3" fillId="2" borderId="8" xfId="0" applyFont="1" applyFill="1" applyBorder="1" applyAlignment="1">
      <alignment horizontal="left" vertical="center"/>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13" fillId="3" borderId="31" xfId="0" applyFont="1" applyFill="1" applyBorder="1" applyAlignment="1">
      <alignment horizontal="center" vertical="center"/>
    </xf>
    <xf numFmtId="0" fontId="3" fillId="2" borderId="9" xfId="0" applyFont="1" applyFill="1" applyBorder="1" applyAlignment="1">
      <alignment horizontal="center" vertical="center"/>
    </xf>
    <xf numFmtId="0" fontId="24" fillId="2" borderId="11" xfId="0" applyFont="1" applyFill="1" applyBorder="1" applyAlignment="1">
      <alignment horizontal="left" vertical="center"/>
    </xf>
    <xf numFmtId="0" fontId="24" fillId="2" borderId="12" xfId="0" applyFont="1" applyFill="1" applyBorder="1" applyAlignment="1">
      <alignment horizontal="left" vertical="center"/>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8" fillId="3" borderId="37" xfId="0" applyFont="1" applyFill="1" applyBorder="1" applyAlignment="1">
      <alignment horizontal="left"/>
    </xf>
    <xf numFmtId="0" fontId="8" fillId="3" borderId="38" xfId="0" applyFont="1" applyFill="1" applyBorder="1" applyAlignment="1">
      <alignment horizontal="left"/>
    </xf>
    <xf numFmtId="0" fontId="8" fillId="3" borderId="39" xfId="0" applyFont="1" applyFill="1" applyBorder="1" applyAlignment="1">
      <alignment horizontal="left"/>
    </xf>
    <xf numFmtId="0" fontId="3" fillId="2" borderId="53" xfId="0" applyFont="1" applyFill="1" applyBorder="1" applyAlignment="1">
      <alignment horizontal="center" vertical="center"/>
    </xf>
    <xf numFmtId="0" fontId="3" fillId="2" borderId="60"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36" xfId="0" applyFont="1" applyFill="1" applyBorder="1" applyAlignment="1">
      <alignment horizontal="left" vertical="center"/>
    </xf>
    <xf numFmtId="0" fontId="16" fillId="5" borderId="8" xfId="0" applyFont="1" applyFill="1" applyBorder="1" applyAlignment="1">
      <alignment horizontal="left" vertical="center" wrapText="1"/>
    </xf>
    <xf numFmtId="0" fontId="16" fillId="5" borderId="5" xfId="0" applyFont="1" applyFill="1" applyBorder="1" applyAlignment="1">
      <alignment horizontal="right" vertical="center"/>
    </xf>
    <xf numFmtId="0" fontId="16" fillId="5" borderId="5" xfId="0" applyFont="1" applyFill="1" applyBorder="1" applyAlignment="1">
      <alignment horizontal="left" vertical="center"/>
    </xf>
    <xf numFmtId="0" fontId="16" fillId="5" borderId="31"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2"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1"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1" xfId="0" applyFont="1" applyFill="1" applyBorder="1" applyAlignment="1">
      <alignment horizontal="right" vertical="center"/>
    </xf>
    <xf numFmtId="0" fontId="16" fillId="5" borderId="34" xfId="0" applyFont="1" applyFill="1" applyBorder="1" applyAlignment="1">
      <alignment horizontal="right" vertical="center"/>
    </xf>
    <xf numFmtId="0" fontId="16" fillId="5" borderId="31" xfId="0" applyFont="1" applyFill="1" applyBorder="1" applyAlignment="1">
      <alignment horizontal="left" vertical="center"/>
    </xf>
    <xf numFmtId="0" fontId="16" fillId="5" borderId="34" xfId="0" applyFont="1" applyFill="1" applyBorder="1" applyAlignment="1">
      <alignment horizontal="left" vertical="center"/>
    </xf>
    <xf numFmtId="0" fontId="21" fillId="3" borderId="0" xfId="0" applyFont="1" applyFill="1" applyAlignment="1">
      <alignment horizontal="center" vertical="center"/>
    </xf>
    <xf numFmtId="0" fontId="20" fillId="2" borderId="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6" fillId="5" borderId="5" xfId="0" applyFont="1" applyFill="1" applyBorder="1" applyAlignment="1">
      <alignment horizontal="center" vertical="center"/>
    </xf>
    <xf numFmtId="0" fontId="8" fillId="3" borderId="43"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5" xfId="0" applyFont="1" applyFill="1" applyBorder="1" applyAlignment="1">
      <alignment vertical="center"/>
    </xf>
    <xf numFmtId="0" fontId="36" fillId="2" borderId="31" xfId="0" applyFont="1" applyFill="1" applyBorder="1" applyAlignment="1" applyProtection="1">
      <alignment horizontal="center" wrapText="1"/>
    </xf>
    <xf numFmtId="0" fontId="36" fillId="2" borderId="34" xfId="0" applyFont="1" applyFill="1" applyBorder="1" applyAlignment="1" applyProtection="1">
      <alignment horizontal="center" wrapText="1"/>
    </xf>
    <xf numFmtId="0" fontId="9" fillId="2" borderId="0" xfId="0" applyFont="1" applyFill="1" applyAlignment="1" applyProtection="1">
      <alignment horizontal="center"/>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horizontal="left"/>
    </xf>
  </cellXfs>
  <cellStyles count="2">
    <cellStyle name="Hyperlink" xfId="1" builtinId="8"/>
    <cellStyle name="Normal" xfId="0" builtinId="0"/>
  </cellStyles>
  <dxfs count="0"/>
  <tableStyles count="0" defaultTableStyle="TableStyleMedium2" defaultPivotStyle="PivotStyleLight16"/>
  <colors>
    <mruColors>
      <color rgb="FFDDFFDD"/>
      <color rgb="FFCCFFCC"/>
      <color rgb="FF404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Gain, Phase Plot</a:t>
            </a:r>
          </a:p>
        </c:rich>
      </c:tx>
      <c:overlay val="0"/>
    </c:title>
    <c:autoTitleDeleted val="0"/>
    <c:plotArea>
      <c:layout/>
      <c:scatterChart>
        <c:scatterStyle val="smoothMarker"/>
        <c:varyColors val="0"/>
        <c:ser>
          <c:idx val="0"/>
          <c:order val="0"/>
          <c:tx>
            <c:v>Gain</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LIST'!$K$79:$K$109</c:f>
              <c:numCache>
                <c:formatCode>General</c:formatCode>
                <c:ptCount val="31"/>
                <c:pt idx="0">
                  <c:v>14.461166421811233</c:v>
                </c:pt>
                <c:pt idx="1">
                  <c:v>14.431268031052817</c:v>
                </c:pt>
                <c:pt idx="2">
                  <c:v>14.384298671829958</c:v>
                </c:pt>
                <c:pt idx="3">
                  <c:v>14.310879357889785</c:v>
                </c:pt>
                <c:pt idx="4">
                  <c:v>14.196994328715558</c:v>
                </c:pt>
                <c:pt idx="5">
                  <c:v>14.022383692696494</c:v>
                </c:pt>
                <c:pt idx="6">
                  <c:v>13.759225202245222</c:v>
                </c:pt>
                <c:pt idx="7">
                  <c:v>13.372194613453845</c:v>
                </c:pt>
                <c:pt idx="8">
                  <c:v>12.821520733117652</c:v>
                </c:pt>
                <c:pt idx="9">
                  <c:v>12.070189681776146</c:v>
                </c:pt>
                <c:pt idx="10">
                  <c:v>11.093991579898624</c:v>
                </c:pt>
                <c:pt idx="11">
                  <c:v>9.8896366823702522</c:v>
                </c:pt>
                <c:pt idx="12">
                  <c:v>8.4756319052590854</c:v>
                </c:pt>
                <c:pt idx="13">
                  <c:v>6.88517709983818</c:v>
                </c:pt>
                <c:pt idx="14">
                  <c:v>5.1556755924336484</c:v>
                </c:pt>
                <c:pt idx="15">
                  <c:v>3.3201164234711151</c:v>
                </c:pt>
                <c:pt idx="16">
                  <c:v>1.402382723607166</c:v>
                </c:pt>
                <c:pt idx="17">
                  <c:v>-0.58436838386796119</c:v>
                </c:pt>
                <c:pt idx="18">
                  <c:v>-2.6379383931024751</c:v>
                </c:pt>
                <c:pt idx="19">
                  <c:v>-4.7670796447238493</c:v>
                </c:pt>
                <c:pt idx="20">
                  <c:v>-6.991446745509112</c:v>
                </c:pt>
                <c:pt idx="21">
                  <c:v>-9.3407238696649681</c:v>
                </c:pt>
                <c:pt idx="22">
                  <c:v>-11.851361403136302</c:v>
                </c:pt>
                <c:pt idx="23">
                  <c:v>-14.55949519169131</c:v>
                </c:pt>
                <c:pt idx="24">
                  <c:v>-17.49071721877236</c:v>
                </c:pt>
                <c:pt idx="25">
                  <c:v>-20.650892458002414</c:v>
                </c:pt>
                <c:pt idx="26">
                  <c:v>-24.023557347985832</c:v>
                </c:pt>
                <c:pt idx="27">
                  <c:v>-27.575606426324381</c:v>
                </c:pt>
                <c:pt idx="28">
                  <c:v>-31.26728224804047</c:v>
                </c:pt>
                <c:pt idx="29">
                  <c:v>-35.060883515878828</c:v>
                </c:pt>
                <c:pt idx="30">
                  <c:v>-38.925437064777327</c:v>
                </c:pt>
              </c:numCache>
            </c:numRef>
          </c:yVal>
          <c:smooth val="1"/>
          <c:extLst>
            <c:ext xmlns:c16="http://schemas.microsoft.com/office/drawing/2014/chart" uri="{C3380CC4-5D6E-409C-BE32-E72D297353CC}">
              <c16:uniqueId val="{00000000-406B-4013-BD3F-5824276001EE}"/>
            </c:ext>
          </c:extLst>
        </c:ser>
        <c:dLbls>
          <c:showLegendKey val="0"/>
          <c:showVal val="0"/>
          <c:showCatName val="0"/>
          <c:showSerName val="0"/>
          <c:showPercent val="0"/>
          <c:showBubbleSize val="0"/>
        </c:dLbls>
        <c:axId val="101384192"/>
        <c:axId val="101387264"/>
      </c:scatterChart>
      <c:scatterChart>
        <c:scatterStyle val="smoothMarker"/>
        <c:varyColors val="0"/>
        <c:ser>
          <c:idx val="1"/>
          <c:order val="1"/>
          <c:tx>
            <c:v>Phase</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LIST'!$L$79:$L$109</c:f>
              <c:numCache>
                <c:formatCode>General</c:formatCode>
                <c:ptCount val="31"/>
                <c:pt idx="0">
                  <c:v>173.52592952055869</c:v>
                </c:pt>
                <c:pt idx="1">
                  <c:v>171.86762949043998</c:v>
                </c:pt>
                <c:pt idx="2">
                  <c:v>169.79749013466721</c:v>
                </c:pt>
                <c:pt idx="3">
                  <c:v>167.22553840933557</c:v>
                </c:pt>
                <c:pt idx="4">
                  <c:v>164.05348903377876</c:v>
                </c:pt>
                <c:pt idx="5">
                  <c:v>160.18444787780211</c:v>
                </c:pt>
                <c:pt idx="6">
                  <c:v>155.54167168219561</c:v>
                </c:pt>
                <c:pt idx="7">
                  <c:v>150.09793837240304</c:v>
                </c:pt>
                <c:pt idx="8">
                  <c:v>143.91078145781592</c:v>
                </c:pt>
                <c:pt idx="9">
                  <c:v>137.14748530605524</c:v>
                </c:pt>
                <c:pt idx="10">
                  <c:v>130.07575387393541</c:v>
                </c:pt>
                <c:pt idx="11">
                  <c:v>123.00764606167957</c:v>
                </c:pt>
                <c:pt idx="12">
                  <c:v>116.21715210630603</c:v>
                </c:pt>
                <c:pt idx="13">
                  <c:v>109.87453356411815</c:v>
                </c:pt>
                <c:pt idx="14">
                  <c:v>104.02559290725949</c:v>
                </c:pt>
                <c:pt idx="15">
                  <c:v>98.610071761068554</c:v>
                </c:pt>
                <c:pt idx="16">
                  <c:v>93.495975217887192</c:v>
                </c:pt>
                <c:pt idx="17">
                  <c:v>88.511905500290084</c:v>
                </c:pt>
                <c:pt idx="18">
                  <c:v>83.471952336537669</c:v>
                </c:pt>
                <c:pt idx="19">
                  <c:v>78.196264093023913</c:v>
                </c:pt>
                <c:pt idx="20">
                  <c:v>72.533544371932109</c:v>
                </c:pt>
                <c:pt idx="21">
                  <c:v>66.390434138284817</c:v>
                </c:pt>
                <c:pt idx="22">
                  <c:v>59.766475486036477</c:v>
                </c:pt>
                <c:pt idx="23">
                  <c:v>52.781768771565375</c:v>
                </c:pt>
                <c:pt idx="24">
                  <c:v>45.674251628809309</c:v>
                </c:pt>
                <c:pt idx="25">
                  <c:v>38.750642157170311</c:v>
                </c:pt>
                <c:pt idx="26">
                  <c:v>32.305533034445965</c:v>
                </c:pt>
                <c:pt idx="27">
                  <c:v>26.55031992947103</c:v>
                </c:pt>
                <c:pt idx="28">
                  <c:v>21.585016024134877</c:v>
                </c:pt>
                <c:pt idx="29">
                  <c:v>17.412296774701012</c:v>
                </c:pt>
                <c:pt idx="30">
                  <c:v>13.971245575884485</c:v>
                </c:pt>
              </c:numCache>
            </c:numRef>
          </c:yVal>
          <c:smooth val="1"/>
          <c:extLst>
            <c:ext xmlns:c16="http://schemas.microsoft.com/office/drawing/2014/chart" uri="{C3380CC4-5D6E-409C-BE32-E72D297353CC}">
              <c16:uniqueId val="{00000001-406B-4013-BD3F-5824276001EE}"/>
            </c:ext>
          </c:extLst>
        </c:ser>
        <c:dLbls>
          <c:showLegendKey val="0"/>
          <c:showVal val="0"/>
          <c:showCatName val="0"/>
          <c:showSerName val="0"/>
          <c:showPercent val="0"/>
          <c:showBubbleSize val="0"/>
        </c:dLbls>
        <c:axId val="135223552"/>
        <c:axId val="131871872"/>
      </c:scatterChart>
      <c:valAx>
        <c:axId val="101384192"/>
        <c:scaling>
          <c:logBase val="10"/>
          <c:orientation val="minMax"/>
          <c:max val="10000"/>
          <c:min val="10"/>
        </c:scaling>
        <c:delete val="0"/>
        <c:axPos val="b"/>
        <c:majorGridlines>
          <c:spPr>
            <a:ln w="12700"/>
          </c:spPr>
        </c:majorGridlines>
        <c:minorGridlines/>
        <c:title>
          <c:tx>
            <c:rich>
              <a:bodyPr/>
              <a:lstStyle/>
              <a:p>
                <a:pPr>
                  <a:defRPr/>
                </a:pPr>
                <a:r>
                  <a:rPr lang="en-US"/>
                  <a:t>Frequency (Hz)</a:t>
                </a:r>
              </a:p>
            </c:rich>
          </c:tx>
          <c:overlay val="0"/>
        </c:title>
        <c:numFmt formatCode="General" sourceLinked="1"/>
        <c:majorTickMark val="out"/>
        <c:minorTickMark val="none"/>
        <c:tickLblPos val="nextTo"/>
        <c:crossAx val="101387264"/>
        <c:crossesAt val="-40"/>
        <c:crossBetween val="midCat"/>
        <c:minorUnit val="10"/>
      </c:valAx>
      <c:valAx>
        <c:axId val="101387264"/>
        <c:scaling>
          <c:orientation val="minMax"/>
          <c:max val="40"/>
          <c:min val="-40"/>
        </c:scaling>
        <c:delete val="0"/>
        <c:axPos val="l"/>
        <c:majorGridlines>
          <c:spPr>
            <a:ln w="15875"/>
          </c:spPr>
        </c:majorGridlines>
        <c:title>
          <c:tx>
            <c:rich>
              <a:bodyPr rot="-5400000" vert="horz"/>
              <a:lstStyle/>
              <a:p>
                <a:pPr>
                  <a:defRPr/>
                </a:pPr>
                <a:r>
                  <a:rPr lang="en-US"/>
                  <a:t>Gain (dB)</a:t>
                </a:r>
              </a:p>
            </c:rich>
          </c:tx>
          <c:overlay val="0"/>
        </c:title>
        <c:numFmt formatCode="General" sourceLinked="1"/>
        <c:majorTickMark val="out"/>
        <c:minorTickMark val="none"/>
        <c:tickLblPos val="nextTo"/>
        <c:crossAx val="101384192"/>
        <c:crosses val="autoZero"/>
        <c:crossBetween val="midCat"/>
        <c:majorUnit val="10"/>
        <c:minorUnit val="1"/>
      </c:valAx>
      <c:valAx>
        <c:axId val="131871872"/>
        <c:scaling>
          <c:orientation val="minMax"/>
          <c:max val="180"/>
          <c:min val="-180"/>
        </c:scaling>
        <c:delete val="0"/>
        <c:axPos val="r"/>
        <c:title>
          <c:tx>
            <c:rich>
              <a:bodyPr rot="5400000" vert="horz"/>
              <a:lstStyle/>
              <a:p>
                <a:pPr>
                  <a:defRPr/>
                </a:pPr>
                <a:r>
                  <a:rPr lang="en-US"/>
                  <a:t>Phase (degrees)</a:t>
                </a:r>
              </a:p>
            </c:rich>
          </c:tx>
          <c:overlay val="0"/>
        </c:title>
        <c:numFmt formatCode="General" sourceLinked="1"/>
        <c:majorTickMark val="out"/>
        <c:minorTickMark val="none"/>
        <c:tickLblPos val="nextTo"/>
        <c:crossAx val="135223552"/>
        <c:crosses val="max"/>
        <c:crossBetween val="midCat"/>
        <c:majorUnit val="45"/>
        <c:minorUnit val="5"/>
      </c:valAx>
      <c:valAx>
        <c:axId val="135223552"/>
        <c:scaling>
          <c:logBase val="10"/>
          <c:orientation val="minMax"/>
          <c:max val="10000"/>
          <c:min val="10"/>
        </c:scaling>
        <c:delete val="0"/>
        <c:axPos val="t"/>
        <c:numFmt formatCode="General" sourceLinked="1"/>
        <c:majorTickMark val="out"/>
        <c:minorTickMark val="none"/>
        <c:tickLblPos val="nextTo"/>
        <c:crossAx val="131871872"/>
        <c:crosses val="max"/>
        <c:crossBetween val="midCat"/>
        <c:minorUnit val="1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7</xdr:col>
          <xdr:colOff>228600</xdr:colOff>
          <xdr:row>25</xdr:row>
          <xdr:rowOff>114300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252</xdr:row>
      <xdr:rowOff>180978</xdr:rowOff>
    </xdr:from>
    <xdr:to>
      <xdr:col>4</xdr:col>
      <xdr:colOff>990600</xdr:colOff>
      <xdr:row>276</xdr:row>
      <xdr:rowOff>28575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digikey.ca/product-detail/en/on-semiconductor/MRA4007T3G/MRA4007T3GOSTR-ND/919869" TargetMode="External"/><Relationship Id="rId13" Type="http://schemas.openxmlformats.org/officeDocument/2006/relationships/hyperlink" Target="https://www.digikey.ca/product-detail/en/bel-fuse-inc/RST-500-AMMO/507-1722-1-ND/8020802" TargetMode="External"/><Relationship Id="rId18" Type="http://schemas.openxmlformats.org/officeDocument/2006/relationships/hyperlink" Target="https://www.digikey.ca/product-detail/en/yageo/CC0402KRX7R8BB473/311-1717-1-ND/5195619" TargetMode="External"/><Relationship Id="rId26" Type="http://schemas.openxmlformats.org/officeDocument/2006/relationships/hyperlink" Target="https://www.digikey.ca/product-detail/en/stackpole-electronics-inc/RMCF0603FT20R0/RMCF0603FT20R0CT-ND/1942945" TargetMode="External"/><Relationship Id="rId3" Type="http://schemas.openxmlformats.org/officeDocument/2006/relationships/hyperlink" Target="https://www.components-store.com/product/CEL(California-Eastern-Laboratories)/PS2811-4-A.html" TargetMode="External"/><Relationship Id="rId21" Type="http://schemas.openxmlformats.org/officeDocument/2006/relationships/hyperlink" Target="https://www.digikey.ca/product-detail/en/vishay-dale/CRCW12063R09FKEA/541-3.09FFCT-ND/1962279" TargetMode="External"/><Relationship Id="rId7" Type="http://schemas.openxmlformats.org/officeDocument/2006/relationships/hyperlink" Target="https://www.digikey.ca/product-detail/en/diodes-incorporated/HD04-T/HD04DICT-ND/278737?utm_adgroup=Semiconductor+Modules&amp;mkwid=sDbCSyMlJ&amp;pcrid=267488348557&amp;pkw=&amp;pmt=b&amp;pdv=c&amp;productid=&amp;slid=&amp;gclid=EAIaIQobChMI6LrD35Pt5QIVzJyzCh0bVQPDEAAYASAAEgKQXfD_BwE" TargetMode="External"/><Relationship Id="rId12" Type="http://schemas.openxmlformats.org/officeDocument/2006/relationships/hyperlink" Target="https://www.digikey.ca/product-detail/en/smc-diode-solutions/SK19TR/SK19TRSMC-ND/5993503" TargetMode="External"/><Relationship Id="rId17" Type="http://schemas.openxmlformats.org/officeDocument/2006/relationships/hyperlink" Target="https://www.digikey.ca/product-detail/en/tdk-corporation/CGA6P3X7S1H685K250AB/445-7003-1-ND/2673021" TargetMode="External"/><Relationship Id="rId25" Type="http://schemas.openxmlformats.org/officeDocument/2006/relationships/hyperlink" Target="https://www.digikey.ca/product-detail/en/panasonic-electronic-components/ERA-3AEB2152V/P21.5KDBCT-ND/3075861" TargetMode="External"/><Relationship Id="rId33" Type="http://schemas.openxmlformats.org/officeDocument/2006/relationships/printerSettings" Target="../printerSettings/printerSettings5.bin"/><Relationship Id="rId2" Type="http://schemas.openxmlformats.org/officeDocument/2006/relationships/hyperlink" Target="https://www.digikey.ca/products/en?keywords=IPP65R190C7" TargetMode="External"/><Relationship Id="rId16" Type="http://schemas.openxmlformats.org/officeDocument/2006/relationships/hyperlink" Target="https://www.digikey.ca/product-detail/en/nichicon/UBY2A951MHL/493-17792-ND/9452726" TargetMode="External"/><Relationship Id="rId20" Type="http://schemas.openxmlformats.org/officeDocument/2006/relationships/hyperlink" Target="https://www.digikey.ca/product-detail/en/murata-electronics/GRM022R71A271KA01L/490-8618-1-ND/4519319" TargetMode="External"/><Relationship Id="rId29" Type="http://schemas.openxmlformats.org/officeDocument/2006/relationships/hyperlink" Target="https://www.digikey.ca/product-detail/en/yageo/RC0603FR-071K5L/311-1.50KHRCT-ND/729811" TargetMode="External"/><Relationship Id="rId1" Type="http://schemas.openxmlformats.org/officeDocument/2006/relationships/hyperlink" Target="https://www.digikey.ca/product-detail/en/wurth-electronics-midcom/750871011/732-2256-ND/2208832" TargetMode="External"/><Relationship Id="rId6" Type="http://schemas.openxmlformats.org/officeDocument/2006/relationships/hyperlink" Target="https://www.digikey.com/products/en?keywords=74437529203471" TargetMode="External"/><Relationship Id="rId11" Type="http://schemas.openxmlformats.org/officeDocument/2006/relationships/hyperlink" Target="https://www.digikey.ca/product-detail/en/toshiba-semiconductor-and-storage/CMS06-TE12LQM/CMS06QMCT-ND/871539" TargetMode="External"/><Relationship Id="rId24" Type="http://schemas.openxmlformats.org/officeDocument/2006/relationships/hyperlink" Target="https://www.digikey.ca/product-detail/en/vishay-beyschlag/MCS04020C1003FE000/MCS0402-100K-CFCT-ND/2607930" TargetMode="External"/><Relationship Id="rId32" Type="http://schemas.openxmlformats.org/officeDocument/2006/relationships/hyperlink" Target="https://www.digikey.ca/product-detail/en/stackpole-electronics-inc/RMCF0603FT28K7/RMCF0603FT28K7TR-ND/1760833" TargetMode="External"/><Relationship Id="rId5" Type="http://schemas.openxmlformats.org/officeDocument/2006/relationships/hyperlink" Target="https://www.digikey.com/product-detail/en/texas-instruments/UCC28740D/296-36516-5-ND/4311723" TargetMode="External"/><Relationship Id="rId15" Type="http://schemas.openxmlformats.org/officeDocument/2006/relationships/hyperlink" Target="https://www.digikey.ca/product-detail/en/nichicon/UBX2G4R7MPL/493-16683-ND/2597608" TargetMode="External"/><Relationship Id="rId23" Type="http://schemas.openxmlformats.org/officeDocument/2006/relationships/hyperlink" Target="https://www.digikey.ca/product-detail/en/stackpole-electronics-inc/RMCF0603FT178K/RMCF0603FT178KTR-ND/1713674" TargetMode="External"/><Relationship Id="rId28" Type="http://schemas.openxmlformats.org/officeDocument/2006/relationships/hyperlink" Target="https://www.digikey.ca/product-detail/en/yageo/RC0603FR-071KL/311-1.00KHRCT-ND/729790" TargetMode="External"/><Relationship Id="rId10" Type="http://schemas.openxmlformats.org/officeDocument/2006/relationships/hyperlink" Target="https://www.digikey.ca/product-detail/en/littelfuse-inc/SMBJ220CA/SMBJ220CALFCT-ND/825058" TargetMode="External"/><Relationship Id="rId19" Type="http://schemas.openxmlformats.org/officeDocument/2006/relationships/hyperlink" Target="https://www.digikey.ca/product-detail/en/kemet/C0402C105K4PAC7867/399-12289-1-ND/5423012" TargetMode="External"/><Relationship Id="rId31" Type="http://schemas.openxmlformats.org/officeDocument/2006/relationships/hyperlink" Target="https://www.digikey.ca/product-detail/en/stackpole-electronics-inc/RMCF0603FT59K0/RMCF0603FT59K0CT-ND/4425114" TargetMode="External"/><Relationship Id="rId4" Type="http://schemas.openxmlformats.org/officeDocument/2006/relationships/hyperlink" Target="https://www.digikey.com/product-detail/en/texas-instruments/LMV431CM5-NOPB/LMV431CM5-NOPBCT-ND/364387" TargetMode="External"/><Relationship Id="rId9" Type="http://schemas.openxmlformats.org/officeDocument/2006/relationships/hyperlink" Target="http://www.ti.com/lit/df/slurao5/slurao5.pdf" TargetMode="External"/><Relationship Id="rId14" Type="http://schemas.openxmlformats.org/officeDocument/2006/relationships/hyperlink" Target="https://www.digikey.ca/product-detail/en/nichicon/UBX2G4R7MPL/493-16683-ND/2597608" TargetMode="External"/><Relationship Id="rId22" Type="http://schemas.openxmlformats.org/officeDocument/2006/relationships/hyperlink" Target="https://www.digikey.ca/product-detail/en/vishay-dale/CRCW0603536KFKEA/541-536KHTR-ND/1174979" TargetMode="External"/><Relationship Id="rId27" Type="http://schemas.openxmlformats.org/officeDocument/2006/relationships/hyperlink" Target="https://www.digikey.ca/product-detail/en/koa-speer-electronics-inc/RK73H1ETTP6490F/2019-RK73H1ETTP6490FCT-ND/9846591" TargetMode="External"/><Relationship Id="rId30" Type="http://schemas.openxmlformats.org/officeDocument/2006/relationships/hyperlink" Target="https://www.digikey.ca/product-detail/en/vishay-dale/CRCW060350R0FKEA/541-3318-1-ND/66849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8"/>
  <sheetViews>
    <sheetView tabSelected="1" topLeftCell="A36" zoomScale="85" zoomScaleNormal="85" workbookViewId="0">
      <selection activeCell="B53" sqref="B53:F53"/>
    </sheetView>
  </sheetViews>
  <sheetFormatPr defaultColWidth="9.140625" defaultRowHeight="14.25"/>
  <cols>
    <col min="1" max="1" width="3.7109375" style="2" customWidth="1"/>
    <col min="2" max="2" width="59.7109375" style="2" customWidth="1"/>
    <col min="3" max="3" width="12.7109375" style="1" customWidth="1"/>
    <col min="4" max="4" width="12.28515625" style="2" customWidth="1"/>
    <col min="5" max="5" width="12.7109375" style="2" customWidth="1"/>
    <col min="6" max="6" width="37.140625" style="2" customWidth="1"/>
    <col min="7" max="7" width="36.85546875" style="2" customWidth="1"/>
    <col min="8" max="16384" width="9.140625" style="2"/>
  </cols>
  <sheetData>
    <row r="1" spans="2:6" ht="37.5" customHeight="1">
      <c r="B1" s="317" t="s">
        <v>2</v>
      </c>
      <c r="C1" s="317"/>
      <c r="D1" s="317"/>
      <c r="E1" s="317"/>
      <c r="F1" s="317"/>
    </row>
    <row r="2" spans="2:6" ht="17.25" customHeight="1" thickBot="1">
      <c r="B2" s="172" t="s">
        <v>701</v>
      </c>
      <c r="C2" s="171" t="s">
        <v>731</v>
      </c>
      <c r="D2" s="173"/>
      <c r="E2" s="174"/>
      <c r="F2" s="170"/>
    </row>
    <row r="3" spans="2:6" ht="14.25" customHeight="1">
      <c r="B3" s="318" t="s">
        <v>0</v>
      </c>
      <c r="C3" s="319"/>
      <c r="D3" s="319"/>
      <c r="E3" s="319"/>
      <c r="F3" s="320"/>
    </row>
    <row r="4" spans="2:6" ht="15" customHeight="1">
      <c r="B4" s="321" t="s">
        <v>1</v>
      </c>
      <c r="C4" s="322"/>
      <c r="D4" s="322"/>
      <c r="E4" s="322"/>
      <c r="F4" s="323"/>
    </row>
    <row r="5" spans="2:6">
      <c r="B5" s="321"/>
      <c r="C5" s="322"/>
      <c r="D5" s="322"/>
      <c r="E5" s="322"/>
      <c r="F5" s="323"/>
    </row>
    <row r="6" spans="2:6">
      <c r="B6" s="321"/>
      <c r="C6" s="322"/>
      <c r="D6" s="322"/>
      <c r="E6" s="322"/>
      <c r="F6" s="323"/>
    </row>
    <row r="7" spans="2:6" ht="15" thickBot="1">
      <c r="B7" s="324"/>
      <c r="C7" s="325"/>
      <c r="D7" s="325"/>
      <c r="E7" s="325"/>
      <c r="F7" s="326"/>
    </row>
    <row r="8" spans="2:6" ht="45" customHeight="1">
      <c r="B8" s="287" t="s">
        <v>3</v>
      </c>
      <c r="C8" s="288"/>
      <c r="D8" s="288"/>
      <c r="E8" s="288"/>
      <c r="F8" s="289"/>
    </row>
    <row r="9" spans="2:6" ht="18">
      <c r="B9" s="290" t="s">
        <v>4</v>
      </c>
      <c r="C9" s="291"/>
      <c r="D9" s="291"/>
      <c r="E9" s="291"/>
      <c r="F9" s="292"/>
    </row>
    <row r="10" spans="2:6" ht="15.75" customHeight="1" thickBot="1">
      <c r="B10" s="293" t="s">
        <v>623</v>
      </c>
      <c r="C10" s="294"/>
      <c r="D10" s="294"/>
      <c r="E10" s="294"/>
      <c r="F10" s="295"/>
    </row>
    <row r="11" spans="2:6" ht="60" customHeight="1" thickBot="1">
      <c r="B11" s="296" t="s">
        <v>109</v>
      </c>
      <c r="C11" s="297"/>
      <c r="D11" s="297"/>
      <c r="E11" s="297"/>
      <c r="F11" s="298"/>
    </row>
    <row r="12" spans="2:6" ht="15" customHeight="1">
      <c r="B12" s="299" t="s">
        <v>5</v>
      </c>
      <c r="C12" s="300"/>
      <c r="D12" s="300"/>
      <c r="E12" s="300"/>
      <c r="F12" s="301"/>
    </row>
    <row r="13" spans="2:6" ht="15.75" customHeight="1" thickBot="1">
      <c r="B13" s="302"/>
      <c r="C13" s="303"/>
      <c r="D13" s="303"/>
      <c r="E13" s="303"/>
      <c r="F13" s="304"/>
    </row>
    <row r="14" spans="2:6" ht="15.75" customHeight="1" thickBot="1">
      <c r="B14" s="316"/>
      <c r="C14" s="316"/>
      <c r="D14" s="316"/>
      <c r="E14" s="316"/>
      <c r="F14" s="316"/>
    </row>
    <row r="15" spans="2:6" ht="16.5" thickBot="1">
      <c r="B15" s="305" t="s">
        <v>16</v>
      </c>
      <c r="C15" s="306"/>
      <c r="D15" s="306"/>
      <c r="E15" s="306"/>
      <c r="F15" s="307"/>
    </row>
    <row r="16" spans="2:6">
      <c r="B16" s="13" t="s">
        <v>54</v>
      </c>
      <c r="C16" s="142" t="s">
        <v>7</v>
      </c>
      <c r="D16" s="308" t="s">
        <v>25</v>
      </c>
      <c r="E16" s="309"/>
      <c r="F16" s="310"/>
    </row>
    <row r="17" spans="2:6" ht="18.75">
      <c r="B17" s="4" t="s">
        <v>55</v>
      </c>
      <c r="C17" s="113">
        <v>110</v>
      </c>
      <c r="D17" s="313" t="str">
        <f>IF(Vin_type="AC","VAC","VDC")</f>
        <v>VAC</v>
      </c>
      <c r="E17" s="255"/>
      <c r="F17" s="256"/>
    </row>
    <row r="18" spans="2:6" ht="18.75" customHeight="1">
      <c r="B18" s="4" t="s">
        <v>56</v>
      </c>
      <c r="C18" s="113">
        <v>130</v>
      </c>
      <c r="D18" s="48" t="str">
        <f>IF(Vin_type="AC","VAC","VDC")</f>
        <v>VAC</v>
      </c>
      <c r="E18" s="314" t="str">
        <f>IF(C18&lt;C17,"VINPUTmax must be &gt;VINPUTmin","")</f>
        <v/>
      </c>
      <c r="F18" s="315"/>
    </row>
    <row r="19" spans="2:6" ht="45" customHeight="1">
      <c r="B19" s="4" t="s">
        <v>82</v>
      </c>
      <c r="C19" s="114">
        <v>120</v>
      </c>
      <c r="D19" s="48" t="str">
        <f>IF(Vin_type="AC","VAC","VDC")</f>
        <v>VAC</v>
      </c>
      <c r="E19" s="257" t="str">
        <f>IF(Vinput_nom&lt;Vinput_min,"Select a NOMINAL voltage greater than the minimum input voltage",IF(Vinput_nom&gt;Vinput_max,"Select a NOMINAL voltage less than the maximum input voltage.",""))</f>
        <v/>
      </c>
      <c r="F19" s="258"/>
    </row>
    <row r="20" spans="2:6" ht="18.75" customHeight="1">
      <c r="B20" s="4" t="s">
        <v>83</v>
      </c>
      <c r="C20" s="113">
        <v>60</v>
      </c>
      <c r="D20" s="48" t="s">
        <v>53</v>
      </c>
      <c r="E20" s="255" t="s">
        <v>732</v>
      </c>
      <c r="F20" s="256"/>
    </row>
    <row r="21" spans="2:6" ht="60" customHeight="1" thickBot="1">
      <c r="B21" s="5" t="s">
        <v>84</v>
      </c>
      <c r="C21" s="115">
        <v>85</v>
      </c>
      <c r="D21" s="6" t="str">
        <f>IF(Vin_type="AC","VAC","VDC")</f>
        <v>VAC</v>
      </c>
      <c r="E21" s="311" t="str">
        <f>IF(Vinput_run&gt;Vinput_min,"Low-line start-up voltage must be less than or equal to the minimum input voltage","")</f>
        <v/>
      </c>
      <c r="F21" s="312"/>
    </row>
    <row r="22" spans="2:6" ht="15.75" customHeight="1" thickBot="1">
      <c r="B22" s="331" t="str">
        <f>IF(Vinput_nom&lt;Vinput_min,"DO NOT CONTINUE UNTIL NOMINAL INPUT VOLTAGE IS INCREASED",IF(Vinput_nom&gt;Vinput_max,"DO NOT CONTINUE UNTIL NOMINAL INPUT VOLTAGE IS DECREASED",""))</f>
        <v/>
      </c>
      <c r="C22" s="331"/>
      <c r="D22" s="331"/>
      <c r="E22" s="331"/>
      <c r="F22" s="331"/>
    </row>
    <row r="23" spans="2:6" ht="15.75">
      <c r="B23" s="334" t="s">
        <v>17</v>
      </c>
      <c r="C23" s="335"/>
      <c r="D23" s="335"/>
      <c r="E23" s="335"/>
      <c r="F23" s="336"/>
    </row>
    <row r="24" spans="2:6" ht="18.75">
      <c r="B24" s="11" t="s">
        <v>85</v>
      </c>
      <c r="C24" s="189">
        <v>5</v>
      </c>
      <c r="D24" s="266" t="s">
        <v>11</v>
      </c>
      <c r="E24" s="266"/>
      <c r="F24" s="248"/>
    </row>
    <row r="25" spans="2:6" ht="18.75">
      <c r="B25" s="11" t="s">
        <v>721</v>
      </c>
      <c r="C25" s="189">
        <v>1</v>
      </c>
      <c r="D25" s="266" t="s">
        <v>12</v>
      </c>
      <c r="E25" s="337"/>
      <c r="F25" s="273"/>
    </row>
    <row r="26" spans="2:6" ht="36.75" customHeight="1">
      <c r="B26" s="11" t="s">
        <v>725</v>
      </c>
      <c r="C26" s="189">
        <v>1.1000000000000001</v>
      </c>
      <c r="D26" s="188" t="s">
        <v>12</v>
      </c>
      <c r="E26" s="257" t="str">
        <f>IF(Iocc_target&lt;1.05*Iout,"Recommend target to be a minimum of 5% higher than rated Iout","")</f>
        <v/>
      </c>
      <c r="F26" s="258"/>
    </row>
    <row r="27" spans="2:6" ht="60" customHeight="1">
      <c r="B27" s="7" t="s">
        <v>86</v>
      </c>
      <c r="C27" s="113">
        <v>4.95</v>
      </c>
      <c r="D27" s="72" t="s">
        <v>11</v>
      </c>
      <c r="E27" s="264" t="str">
        <f>IF(C27&gt;=Vout_cv,"Minimum output voltage in CC mode must be less than regulated output voltage","")</f>
        <v/>
      </c>
      <c r="F27" s="265"/>
    </row>
    <row r="28" spans="2:6" ht="45" customHeight="1">
      <c r="B28" s="7" t="s">
        <v>327</v>
      </c>
      <c r="C28" s="113">
        <v>0.05</v>
      </c>
      <c r="D28" s="266" t="s">
        <v>10</v>
      </c>
      <c r="E28" s="266"/>
      <c r="F28" s="248"/>
    </row>
    <row r="29" spans="2:6" ht="18.75" customHeight="1">
      <c r="B29" s="7" t="s">
        <v>87</v>
      </c>
      <c r="C29" s="113">
        <v>80</v>
      </c>
      <c r="D29" s="266" t="s">
        <v>14</v>
      </c>
      <c r="E29" s="266"/>
      <c r="F29" s="248"/>
    </row>
    <row r="30" spans="2:6" ht="45" customHeight="1">
      <c r="B30" s="7" t="s">
        <v>733</v>
      </c>
      <c r="C30" s="113">
        <v>100</v>
      </c>
      <c r="D30" s="72" t="s">
        <v>15</v>
      </c>
      <c r="E30" s="262" t="str">
        <f>IF(fmax_target&gt;100,"Desired switching frequency must be lower than 100 kHz",IF(fmax_target&lt;0.17,"Desired switching frequency must be higher than 170 Hz",""))</f>
        <v/>
      </c>
      <c r="F30" s="263"/>
    </row>
    <row r="31" spans="2:6" ht="18.75" customHeight="1">
      <c r="B31" s="4" t="s">
        <v>216</v>
      </c>
      <c r="C31" s="113">
        <v>5.25</v>
      </c>
      <c r="D31" s="72" t="s">
        <v>10</v>
      </c>
      <c r="E31" s="262" t="str">
        <f>IF(Vout_ovp&lt;=C24,"Vout_ovp must be &gt;Vout","")</f>
        <v/>
      </c>
      <c r="F31" s="263"/>
    </row>
    <row r="32" spans="2:6" ht="18.75" customHeight="1">
      <c r="B32" s="4" t="s">
        <v>314</v>
      </c>
      <c r="C32" s="113">
        <v>0.5</v>
      </c>
      <c r="D32" s="266" t="s">
        <v>12</v>
      </c>
      <c r="E32" s="266"/>
      <c r="F32" s="248"/>
    </row>
    <row r="33" spans="2:7" ht="37.5" customHeight="1">
      <c r="B33" s="7" t="s">
        <v>316</v>
      </c>
      <c r="C33" s="113">
        <v>20</v>
      </c>
      <c r="D33" s="266" t="s">
        <v>24</v>
      </c>
      <c r="E33" s="266"/>
      <c r="F33" s="248"/>
    </row>
    <row r="34" spans="2:7" ht="18.75" customHeight="1" thickBot="1">
      <c r="B34" s="5" t="s">
        <v>711</v>
      </c>
      <c r="C34" s="116">
        <v>20</v>
      </c>
      <c r="D34" s="338" t="s">
        <v>113</v>
      </c>
      <c r="E34" s="338"/>
      <c r="F34" s="246"/>
    </row>
    <row r="35" spans="2:7" ht="15" customHeight="1" thickBot="1">
      <c r="B35" s="339" t="str">
        <f>IF(fmax_target&gt;100,"DO NOT CONTINUE UNTIL DESIRED SWITCHING FREQUENCY VALUE IS DECREASED",IF(fmax_target&lt;0.17,"DO NOT CONTINUE UNTIL DESIRED SWITCHING FREQUENCY VALUE IS INCREASED",""))</f>
        <v/>
      </c>
      <c r="C35" s="339"/>
      <c r="D35" s="339"/>
      <c r="E35" s="339"/>
      <c r="F35" s="339"/>
    </row>
    <row r="36" spans="2:7" ht="16.5" thickBot="1">
      <c r="B36" s="280" t="s">
        <v>328</v>
      </c>
      <c r="C36" s="281"/>
      <c r="D36" s="281"/>
      <c r="E36" s="281"/>
      <c r="F36" s="282"/>
      <c r="G36" s="112"/>
    </row>
    <row r="37" spans="2:7" ht="15" customHeight="1" thickBot="1">
      <c r="B37" s="74" t="s">
        <v>18</v>
      </c>
      <c r="C37" s="340" t="s">
        <v>90</v>
      </c>
      <c r="D37" s="341"/>
      <c r="E37" s="332" t="s">
        <v>38</v>
      </c>
      <c r="F37" s="333"/>
      <c r="G37" s="112"/>
    </row>
    <row r="38" spans="2:7" ht="15" customHeight="1">
      <c r="B38" s="259" t="s">
        <v>95</v>
      </c>
      <c r="C38" s="260"/>
      <c r="D38" s="260"/>
      <c r="E38" s="260"/>
      <c r="F38" s="261"/>
      <c r="G38" s="112"/>
    </row>
    <row r="39" spans="2:7" ht="49.5" customHeight="1">
      <c r="B39" s="191" t="s">
        <v>710</v>
      </c>
      <c r="C39" s="121">
        <v>100</v>
      </c>
      <c r="D39" s="192" t="s">
        <v>10</v>
      </c>
      <c r="E39" s="283" t="s">
        <v>729</v>
      </c>
      <c r="F39" s="284"/>
      <c r="G39" s="112"/>
    </row>
    <row r="40" spans="2:7" ht="102" customHeight="1">
      <c r="B40" s="4" t="s">
        <v>89</v>
      </c>
      <c r="C40" s="8">
        <f>Cbulk_rcmd</f>
        <v>5.827913998898107</v>
      </c>
      <c r="D40" s="182" t="s">
        <v>23</v>
      </c>
      <c r="E40" s="276" t="s">
        <v>712</v>
      </c>
      <c r="F40" s="277"/>
      <c r="G40" s="112"/>
    </row>
    <row r="41" spans="2:7" ht="30" customHeight="1" thickBot="1">
      <c r="B41" s="5" t="s">
        <v>91</v>
      </c>
      <c r="C41" s="238">
        <v>9.4</v>
      </c>
      <c r="D41" s="6" t="s">
        <v>23</v>
      </c>
      <c r="E41" s="274" t="s">
        <v>39</v>
      </c>
      <c r="F41" s="275"/>
      <c r="G41" s="112"/>
    </row>
    <row r="42" spans="2:7" ht="18.75" customHeight="1">
      <c r="B42" s="259" t="s">
        <v>92</v>
      </c>
      <c r="C42" s="260"/>
      <c r="D42" s="260"/>
      <c r="E42" s="260"/>
      <c r="F42" s="261"/>
    </row>
    <row r="43" spans="2:7" ht="30" customHeight="1" thickBot="1">
      <c r="B43" s="5" t="s">
        <v>99</v>
      </c>
      <c r="C43" s="116">
        <v>0.37</v>
      </c>
      <c r="D43" s="6" t="s">
        <v>10</v>
      </c>
      <c r="E43" s="274" t="s">
        <v>40</v>
      </c>
      <c r="F43" s="275"/>
    </row>
    <row r="44" spans="2:7" ht="18.75" customHeight="1">
      <c r="B44" s="259" t="s">
        <v>93</v>
      </c>
      <c r="C44" s="260"/>
      <c r="D44" s="260"/>
      <c r="E44" s="260"/>
      <c r="F44" s="261"/>
    </row>
    <row r="45" spans="2:7" ht="30" customHeight="1" thickBot="1">
      <c r="B45" s="5" t="s">
        <v>100</v>
      </c>
      <c r="C45" s="116">
        <v>0</v>
      </c>
      <c r="D45" s="6" t="s">
        <v>58</v>
      </c>
      <c r="E45" s="274" t="s">
        <v>41</v>
      </c>
      <c r="F45" s="275"/>
    </row>
    <row r="47" spans="2:7" ht="18.75" customHeight="1">
      <c r="B47" s="252" t="s">
        <v>702</v>
      </c>
      <c r="C47" s="253"/>
      <c r="D47" s="253"/>
      <c r="E47" s="253"/>
      <c r="F47" s="254"/>
    </row>
    <row r="48" spans="2:7" ht="18.75" customHeight="1">
      <c r="B48" s="7" t="s">
        <v>708</v>
      </c>
      <c r="C48" s="187">
        <f>Nps_ideal</f>
        <v>25.185232393395399</v>
      </c>
      <c r="D48" s="186"/>
      <c r="E48" s="255" t="s">
        <v>709</v>
      </c>
      <c r="F48" s="256"/>
    </row>
    <row r="49" spans="2:7" ht="60" customHeight="1" thickBot="1">
      <c r="B49" s="7" t="s">
        <v>106</v>
      </c>
      <c r="C49" s="118">
        <v>21.9</v>
      </c>
      <c r="D49" s="18" t="s">
        <v>103</v>
      </c>
      <c r="E49" s="262" t="str">
        <f>IF(C49&gt;1.01*Nps_ideal,"Using a higher Nps than ideal may result in better efficiency but may limit operation at low input voltage",IF(C49&lt;0.99*Nps_ideal,"Using a lower Nps than ideal may result in deeper DCM operation at max load and may result in lower efficiency"," "))</f>
        <v>Using a lower Nps than ideal may result in deeper DCM operation at max load and may result in lower efficiency</v>
      </c>
      <c r="F49" s="263"/>
    </row>
    <row r="50" spans="2:7" ht="16.5">
      <c r="B50" s="249" t="s">
        <v>104</v>
      </c>
      <c r="C50" s="250"/>
      <c r="D50" s="250"/>
      <c r="E50" s="250"/>
      <c r="F50" s="251"/>
    </row>
    <row r="51" spans="2:7" ht="18.75">
      <c r="B51" s="4" t="s">
        <v>256</v>
      </c>
      <c r="C51" s="9">
        <f>Rcs_rcmd</f>
        <v>3.0508366479473916</v>
      </c>
      <c r="D51" s="182" t="s">
        <v>48</v>
      </c>
      <c r="E51" s="255" t="s">
        <v>245</v>
      </c>
      <c r="F51" s="256"/>
      <c r="G51" s="175"/>
    </row>
    <row r="52" spans="2:7" ht="19.5" thickBot="1">
      <c r="B52" s="5" t="s">
        <v>257</v>
      </c>
      <c r="C52" s="120">
        <v>3.0510000000000002</v>
      </c>
      <c r="D52" s="6" t="s">
        <v>48</v>
      </c>
      <c r="E52" s="245" t="s">
        <v>313</v>
      </c>
      <c r="F52" s="246"/>
      <c r="G52" s="175" t="str">
        <f>IF(Iocc&lt;Iocc_target,"Iocc will be less than target Iocc because Rcs is greater than recommended value","")</f>
        <v/>
      </c>
    </row>
    <row r="53" spans="2:7" ht="20.25" customHeight="1">
      <c r="B53" s="252" t="s">
        <v>96</v>
      </c>
      <c r="C53" s="253"/>
      <c r="D53" s="253"/>
      <c r="E53" s="253"/>
      <c r="F53" s="254"/>
    </row>
    <row r="54" spans="2:7" ht="18.75" customHeight="1">
      <c r="B54" s="4" t="s">
        <v>105</v>
      </c>
      <c r="C54" s="9">
        <f>Lp_rcmd</f>
        <v>2191.9343111254852</v>
      </c>
      <c r="D54" s="75" t="s">
        <v>50</v>
      </c>
      <c r="E54" s="272"/>
      <c r="F54" s="273"/>
      <c r="G54" s="175"/>
    </row>
    <row r="55" spans="2:7" ht="60" customHeight="1">
      <c r="B55" s="4" t="s">
        <v>108</v>
      </c>
      <c r="C55" s="119">
        <v>4000</v>
      </c>
      <c r="D55" s="55" t="s">
        <v>50</v>
      </c>
      <c r="E55" s="257" t="str">
        <f>IF(ton_min&lt;tonmin_limit,"Increase the Primary Inductance to meet minimum on-time, tCSLEB, requirement, otherwise OVP fault at high input voltage may result","")</f>
        <v/>
      </c>
      <c r="F55" s="258"/>
      <c r="G55" s="175" t="str">
        <f>IF(fmax&gt;100,"fmax &gt; 100kHz Design exceeds capability of part",IF(fmax&lt;32,"Design will operate only in the AM range, not all features may be available",""))</f>
        <v/>
      </c>
    </row>
    <row r="56" spans="2:7" ht="18.75" customHeight="1">
      <c r="B56" s="4" t="s">
        <v>276</v>
      </c>
      <c r="C56" s="9">
        <f>Npa_rcmd</f>
        <v>12.873812154696132</v>
      </c>
      <c r="D56" s="267" t="s">
        <v>275</v>
      </c>
      <c r="E56" s="268"/>
      <c r="F56" s="269"/>
    </row>
    <row r="57" spans="2:7" ht="60" customHeight="1" thickBot="1">
      <c r="B57" s="5" t="s">
        <v>281</v>
      </c>
      <c r="C57" s="120">
        <v>7.5510000000000002</v>
      </c>
      <c r="D57" s="56" t="s">
        <v>280</v>
      </c>
      <c r="E57" s="270" t="str">
        <f>IF(VDD&gt;25,"VDD may exceed its ABS MAX rating due to the targetted minimum output voltage during constant current regulation, a zener clamp is needed on VDD.  This will impact efficiency",IF(VDD&lt;9,"Decrease Primary to Auxiliary Turns Ratio",""))</f>
        <v/>
      </c>
      <c r="F57" s="271"/>
    </row>
    <row r="58" spans="2:7" ht="18.75" customHeight="1">
      <c r="B58" s="249" t="s">
        <v>94</v>
      </c>
      <c r="C58" s="250"/>
      <c r="D58" s="250"/>
      <c r="E58" s="250"/>
      <c r="F58" s="251"/>
    </row>
    <row r="59" spans="2:7" ht="18.75" customHeight="1">
      <c r="B59" s="54" t="s">
        <v>713</v>
      </c>
      <c r="C59" s="9">
        <f>Vds_min_rating</f>
        <v>391.8859920410531</v>
      </c>
      <c r="D59" s="218" t="s">
        <v>10</v>
      </c>
      <c r="E59" s="285"/>
      <c r="F59" s="286"/>
    </row>
    <row r="60" spans="2:7" ht="47.25" customHeight="1">
      <c r="B60" s="4" t="s">
        <v>102</v>
      </c>
      <c r="C60" s="216">
        <v>700</v>
      </c>
      <c r="D60" s="182" t="s">
        <v>10</v>
      </c>
      <c r="E60" s="262" t="str">
        <f>IF(VDS_derating&gt;0.95,"Excessive leakage inductance voltage spikes during switching may result in exceeding the VDS rating of the FET ","")</f>
        <v/>
      </c>
      <c r="F60" s="263"/>
      <c r="G60" s="175"/>
    </row>
    <row r="61" spans="2:7" ht="30" customHeight="1">
      <c r="B61" s="4" t="s">
        <v>107</v>
      </c>
      <c r="C61" s="216">
        <v>17</v>
      </c>
      <c r="D61" s="266" t="s">
        <v>28</v>
      </c>
      <c r="E61" s="266"/>
      <c r="F61" s="248"/>
      <c r="G61" s="175" t="str">
        <f>IF((1-((tres_actual*us)*(fmax*kHz))-Ddemag_cc)&lt;(1-((2.1*us)*(fmax*kHz))-Ddemag_cc),"Design will not Valley Switch","")</f>
        <v/>
      </c>
    </row>
    <row r="62" spans="2:7" ht="30" customHeight="1">
      <c r="B62" s="4" t="s">
        <v>118</v>
      </c>
      <c r="C62" s="216">
        <v>0.19</v>
      </c>
      <c r="D62" s="266" t="s">
        <v>48</v>
      </c>
      <c r="E62" s="266"/>
      <c r="F62" s="248"/>
    </row>
    <row r="63" spans="2:7" ht="30" customHeight="1">
      <c r="B63" s="4" t="s">
        <v>240</v>
      </c>
      <c r="C63" s="216">
        <v>9</v>
      </c>
      <c r="D63" s="266" t="s">
        <v>52</v>
      </c>
      <c r="E63" s="266"/>
      <c r="F63" s="248"/>
    </row>
    <row r="64" spans="2:7" ht="30" customHeight="1">
      <c r="B64" s="4" t="s">
        <v>409</v>
      </c>
      <c r="C64" s="216">
        <v>54</v>
      </c>
      <c r="D64" s="266" t="s">
        <v>52</v>
      </c>
      <c r="E64" s="266"/>
      <c r="F64" s="248"/>
    </row>
    <row r="65" spans="2:13" ht="18.75" customHeight="1" thickBot="1">
      <c r="B65" s="5" t="s">
        <v>418</v>
      </c>
      <c r="C65" s="116">
        <v>23</v>
      </c>
      <c r="D65" s="327" t="s">
        <v>419</v>
      </c>
      <c r="E65" s="328"/>
      <c r="F65" s="329"/>
    </row>
    <row r="66" spans="2:13" ht="15" thickBot="1">
      <c r="B66" s="49"/>
      <c r="C66" s="193"/>
      <c r="D66" s="49"/>
      <c r="E66" s="49"/>
      <c r="F66" s="49"/>
      <c r="G66" s="49"/>
      <c r="H66" s="49"/>
      <c r="I66" s="49"/>
      <c r="J66" s="49"/>
      <c r="K66" s="49"/>
      <c r="L66" s="49"/>
      <c r="M66" s="49"/>
    </row>
    <row r="67" spans="2:13" ht="16.5">
      <c r="B67" s="249" t="s">
        <v>422</v>
      </c>
      <c r="C67" s="250"/>
      <c r="D67" s="250"/>
      <c r="E67" s="250"/>
      <c r="F67" s="251"/>
    </row>
    <row r="68" spans="2:13" ht="18.75">
      <c r="B68" s="4" t="s">
        <v>423</v>
      </c>
      <c r="C68" s="9">
        <f>Cout_rcmd</f>
        <v>680</v>
      </c>
      <c r="D68" s="72" t="s">
        <v>23</v>
      </c>
      <c r="E68" s="255" t="s">
        <v>436</v>
      </c>
      <c r="F68" s="256"/>
    </row>
    <row r="69" spans="2:13" ht="18.75">
      <c r="B69" s="4" t="s">
        <v>424</v>
      </c>
      <c r="C69" s="119">
        <v>820</v>
      </c>
      <c r="D69" s="72" t="s">
        <v>23</v>
      </c>
      <c r="E69" s="255" t="s">
        <v>437</v>
      </c>
      <c r="F69" s="256"/>
    </row>
    <row r="70" spans="2:13" ht="18.75">
      <c r="B70" s="4" t="s">
        <v>430</v>
      </c>
      <c r="C70" s="9">
        <f>ESRrcmd</f>
        <v>14.418118343404988</v>
      </c>
      <c r="D70" s="72" t="s">
        <v>58</v>
      </c>
      <c r="E70" s="255" t="s">
        <v>435</v>
      </c>
      <c r="F70" s="256"/>
    </row>
    <row r="71" spans="2:13" ht="19.5" thickBot="1">
      <c r="B71" s="5" t="s">
        <v>492</v>
      </c>
      <c r="C71" s="120">
        <v>23</v>
      </c>
      <c r="D71" s="6" t="s">
        <v>58</v>
      </c>
      <c r="E71" s="328" t="s">
        <v>438</v>
      </c>
      <c r="F71" s="329"/>
    </row>
    <row r="72" spans="2:13" ht="16.5">
      <c r="B72" s="252" t="s">
        <v>260</v>
      </c>
      <c r="C72" s="253"/>
      <c r="D72" s="253"/>
      <c r="E72" s="253"/>
      <c r="F72" s="254"/>
    </row>
    <row r="73" spans="2:13" ht="19.5" thickBot="1">
      <c r="B73" s="5" t="s">
        <v>258</v>
      </c>
      <c r="C73" s="116">
        <v>1</v>
      </c>
      <c r="D73" s="6" t="s">
        <v>10</v>
      </c>
      <c r="E73" s="202" t="s">
        <v>259</v>
      </c>
      <c r="F73" s="203" t="s">
        <v>730</v>
      </c>
    </row>
    <row r="74" spans="2:13" ht="16.5">
      <c r="B74" s="259" t="s">
        <v>272</v>
      </c>
      <c r="C74" s="260"/>
      <c r="D74" s="260"/>
      <c r="E74" s="260"/>
      <c r="F74" s="261"/>
    </row>
    <row r="75" spans="2:13" ht="19.5" thickBot="1">
      <c r="B75" s="34" t="s">
        <v>271</v>
      </c>
      <c r="C75" s="117">
        <v>0.9</v>
      </c>
      <c r="D75" s="330" t="s">
        <v>10</v>
      </c>
      <c r="E75" s="278"/>
      <c r="F75" s="279"/>
    </row>
    <row r="76" spans="2:13" ht="16.5">
      <c r="B76" s="249" t="s">
        <v>341</v>
      </c>
      <c r="C76" s="250"/>
      <c r="D76" s="250"/>
      <c r="E76" s="250"/>
      <c r="F76" s="251"/>
    </row>
    <row r="77" spans="2:13" ht="18.75">
      <c r="B77" s="4" t="s">
        <v>343</v>
      </c>
      <c r="C77" s="9">
        <f>Rvs1_rcmd</f>
        <v>59</v>
      </c>
      <c r="D77" s="72" t="s">
        <v>374</v>
      </c>
      <c r="E77" s="255" t="s">
        <v>376</v>
      </c>
      <c r="F77" s="256"/>
    </row>
    <row r="78" spans="2:13" ht="19.5" thickBot="1">
      <c r="B78" s="34" t="s">
        <v>382</v>
      </c>
      <c r="C78" s="199">
        <v>59</v>
      </c>
      <c r="D78" s="6" t="s">
        <v>374</v>
      </c>
      <c r="E78" s="278" t="s">
        <v>377</v>
      </c>
      <c r="F78" s="279"/>
    </row>
    <row r="79" spans="2:13" ht="16.5">
      <c r="B79" s="249" t="s">
        <v>484</v>
      </c>
      <c r="C79" s="250"/>
      <c r="D79" s="250"/>
      <c r="E79" s="250"/>
      <c r="F79" s="251"/>
    </row>
    <row r="80" spans="2:13" ht="18.75">
      <c r="B80" s="4" t="s">
        <v>375</v>
      </c>
      <c r="C80" s="9">
        <f>Rvs2_rcmd</f>
        <v>28.7</v>
      </c>
      <c r="D80" s="72" t="s">
        <v>374</v>
      </c>
      <c r="E80" s="247" t="s">
        <v>383</v>
      </c>
      <c r="F80" s="248"/>
    </row>
    <row r="81" spans="2:6" ht="19.5" thickBot="1">
      <c r="B81" s="34" t="s">
        <v>385</v>
      </c>
      <c r="C81" s="199">
        <v>28.7</v>
      </c>
      <c r="D81" s="6" t="s">
        <v>374</v>
      </c>
      <c r="E81" s="272" t="s">
        <v>384</v>
      </c>
      <c r="F81" s="273"/>
    </row>
    <row r="82" spans="2:6" ht="16.5">
      <c r="B82" s="249" t="s">
        <v>485</v>
      </c>
      <c r="C82" s="250"/>
      <c r="D82" s="250"/>
      <c r="E82" s="250"/>
      <c r="F82" s="251"/>
    </row>
    <row r="83" spans="2:6" ht="18.75">
      <c r="B83" s="4" t="s">
        <v>459</v>
      </c>
      <c r="C83" s="9">
        <f>Rlc_rcmd</f>
        <v>0.8660000000000001</v>
      </c>
      <c r="D83" s="72" t="s">
        <v>374</v>
      </c>
      <c r="E83" s="255" t="s">
        <v>458</v>
      </c>
      <c r="F83" s="256"/>
    </row>
    <row r="84" spans="2:6" ht="18.75">
      <c r="B84" s="34" t="s">
        <v>460</v>
      </c>
      <c r="C84" s="199">
        <v>0.64900000000000002</v>
      </c>
      <c r="D84" s="86" t="s">
        <v>374</v>
      </c>
      <c r="E84" s="343" t="s">
        <v>488</v>
      </c>
      <c r="F84" s="344"/>
    </row>
    <row r="85" spans="2:6" ht="16.5">
      <c r="B85" s="342" t="s">
        <v>543</v>
      </c>
      <c r="C85" s="342"/>
      <c r="D85" s="342"/>
      <c r="E85" s="342"/>
      <c r="F85" s="342"/>
    </row>
    <row r="86" spans="2:6" ht="18.75">
      <c r="B86" s="76" t="s">
        <v>601</v>
      </c>
      <c r="C86" s="121">
        <v>1.258</v>
      </c>
      <c r="D86" s="71" t="s">
        <v>10</v>
      </c>
      <c r="E86" s="348" t="s">
        <v>517</v>
      </c>
      <c r="F86" s="349"/>
    </row>
    <row r="87" spans="2:6" ht="18.75">
      <c r="B87" s="76" t="s">
        <v>602</v>
      </c>
      <c r="C87" s="121">
        <v>0.5</v>
      </c>
      <c r="D87" s="71" t="s">
        <v>519</v>
      </c>
      <c r="E87" s="348" t="s">
        <v>518</v>
      </c>
      <c r="F87" s="349"/>
    </row>
    <row r="88" spans="2:6" ht="18.75">
      <c r="B88" s="3" t="s">
        <v>487</v>
      </c>
      <c r="C88" s="70">
        <f>Rfb2_rcmd</f>
        <v>178</v>
      </c>
      <c r="D88" s="3" t="s">
        <v>340</v>
      </c>
      <c r="E88" s="266" t="s">
        <v>489</v>
      </c>
      <c r="F88" s="266"/>
    </row>
    <row r="89" spans="2:6" ht="18.75">
      <c r="B89" s="3" t="s">
        <v>493</v>
      </c>
      <c r="C89" s="113">
        <v>178</v>
      </c>
      <c r="D89" s="3" t="s">
        <v>340</v>
      </c>
      <c r="E89" s="313" t="s">
        <v>491</v>
      </c>
      <c r="F89" s="247"/>
    </row>
    <row r="90" spans="2:6" ht="18.75">
      <c r="B90" s="3" t="s">
        <v>510</v>
      </c>
      <c r="C90" s="70">
        <f>Rfb1_rcmd</f>
        <v>536</v>
      </c>
      <c r="D90" s="3" t="s">
        <v>340</v>
      </c>
      <c r="E90" s="266" t="s">
        <v>512</v>
      </c>
      <c r="F90" s="266"/>
    </row>
    <row r="91" spans="2:6" ht="18.75">
      <c r="B91" s="3" t="s">
        <v>511</v>
      </c>
      <c r="C91" s="176">
        <v>536</v>
      </c>
      <c r="D91" s="3" t="s">
        <v>340</v>
      </c>
      <c r="E91" s="266" t="s">
        <v>513</v>
      </c>
      <c r="F91" s="266"/>
    </row>
    <row r="92" spans="2:6" ht="18.75" customHeight="1">
      <c r="B92" s="267" t="s">
        <v>521</v>
      </c>
      <c r="C92" s="347">
        <v>100</v>
      </c>
      <c r="D92" s="266" t="s">
        <v>524</v>
      </c>
      <c r="E92" s="266" t="s">
        <v>522</v>
      </c>
      <c r="F92" s="266"/>
    </row>
    <row r="93" spans="2:6">
      <c r="B93" s="267"/>
      <c r="C93" s="347"/>
      <c r="D93" s="266"/>
      <c r="E93" s="266"/>
      <c r="F93" s="266"/>
    </row>
    <row r="94" spans="2:6" ht="18.75">
      <c r="B94" s="3" t="s">
        <v>529</v>
      </c>
      <c r="C94" s="176">
        <v>5</v>
      </c>
      <c r="D94" s="3" t="s">
        <v>523</v>
      </c>
      <c r="E94" s="313" t="s">
        <v>525</v>
      </c>
      <c r="F94" s="247"/>
    </row>
    <row r="95" spans="2:6" ht="18.75">
      <c r="B95" s="3" t="s">
        <v>528</v>
      </c>
      <c r="C95" s="176">
        <v>100</v>
      </c>
      <c r="D95" s="108" t="s">
        <v>48</v>
      </c>
      <c r="E95" s="313" t="s">
        <v>526</v>
      </c>
      <c r="F95" s="247"/>
    </row>
    <row r="96" spans="2:6" ht="18.75">
      <c r="B96" s="3" t="s">
        <v>527</v>
      </c>
      <c r="C96" s="176">
        <v>20</v>
      </c>
      <c r="D96" s="3" t="s">
        <v>15</v>
      </c>
      <c r="E96" s="313" t="s">
        <v>531</v>
      </c>
      <c r="F96" s="247"/>
    </row>
    <row r="97" spans="2:6" ht="18.75">
      <c r="B97" s="3" t="s">
        <v>530</v>
      </c>
      <c r="C97" s="176">
        <v>1.4</v>
      </c>
      <c r="D97" s="3" t="s">
        <v>10</v>
      </c>
      <c r="E97" s="266" t="s">
        <v>532</v>
      </c>
      <c r="F97" s="266"/>
    </row>
    <row r="98" spans="2:6" ht="18.75" customHeight="1">
      <c r="B98" s="267" t="s">
        <v>551</v>
      </c>
      <c r="C98" s="345">
        <v>0</v>
      </c>
      <c r="D98" s="346" t="s">
        <v>23</v>
      </c>
      <c r="E98" s="266" t="s">
        <v>550</v>
      </c>
      <c r="F98" s="266"/>
    </row>
    <row r="99" spans="2:6">
      <c r="B99" s="267"/>
      <c r="C99" s="345"/>
      <c r="D99" s="266"/>
      <c r="E99" s="266"/>
      <c r="F99" s="266"/>
    </row>
    <row r="100" spans="2:6" ht="18.75">
      <c r="B100" s="3" t="s">
        <v>552</v>
      </c>
      <c r="C100" s="113">
        <v>0</v>
      </c>
      <c r="D100" s="3" t="s">
        <v>454</v>
      </c>
      <c r="E100" s="313" t="s">
        <v>553</v>
      </c>
      <c r="F100" s="247"/>
    </row>
    <row r="101" spans="2:6" ht="18.75">
      <c r="B101" s="3" t="s">
        <v>567</v>
      </c>
      <c r="C101" s="73">
        <f>Cfb_rcmd</f>
        <v>4.7E-2</v>
      </c>
      <c r="D101" s="3" t="s">
        <v>454</v>
      </c>
      <c r="E101" s="266" t="s">
        <v>560</v>
      </c>
      <c r="F101" s="266"/>
    </row>
    <row r="102" spans="2:6" ht="18.75">
      <c r="B102" s="3" t="s">
        <v>569</v>
      </c>
      <c r="C102" s="113">
        <v>4.7E-2</v>
      </c>
      <c r="D102" s="3" t="s">
        <v>454</v>
      </c>
      <c r="E102" s="266" t="s">
        <v>568</v>
      </c>
      <c r="F102" s="266"/>
    </row>
    <row r="103" spans="2:6" ht="18.75">
      <c r="B103" s="3" t="s">
        <v>574</v>
      </c>
      <c r="C103" s="73">
        <f>R_fb4_rcmd</f>
        <v>22</v>
      </c>
      <c r="D103" s="3" t="s">
        <v>340</v>
      </c>
      <c r="E103" s="266" t="s">
        <v>575</v>
      </c>
      <c r="F103" s="266"/>
    </row>
    <row r="104" spans="2:6" ht="18.75">
      <c r="B104" s="3" t="s">
        <v>572</v>
      </c>
      <c r="C104" s="113">
        <v>21.4</v>
      </c>
      <c r="D104" s="3" t="s">
        <v>340</v>
      </c>
      <c r="E104" s="266" t="s">
        <v>576</v>
      </c>
      <c r="F104" s="266"/>
    </row>
    <row r="105" spans="2:6" ht="18.75">
      <c r="B105" s="3" t="s">
        <v>610</v>
      </c>
      <c r="C105" s="73">
        <f>Rtl_rcmd</f>
        <v>1.5</v>
      </c>
      <c r="D105" s="3" t="s">
        <v>340</v>
      </c>
      <c r="E105" s="266" t="s">
        <v>609</v>
      </c>
      <c r="F105" s="266"/>
    </row>
    <row r="106" spans="2:6" ht="18.75">
      <c r="B106" s="3" t="s">
        <v>611</v>
      </c>
      <c r="C106" s="113">
        <v>1.5</v>
      </c>
      <c r="D106" s="3" t="s">
        <v>340</v>
      </c>
      <c r="E106" s="266" t="s">
        <v>612</v>
      </c>
      <c r="F106" s="266"/>
    </row>
    <row r="107" spans="2:6" ht="18.75">
      <c r="B107" s="3" t="s">
        <v>620</v>
      </c>
      <c r="C107" s="73">
        <f>Cz_rcmd</f>
        <v>270</v>
      </c>
      <c r="D107" s="3" t="s">
        <v>28</v>
      </c>
      <c r="E107" s="313" t="s">
        <v>619</v>
      </c>
      <c r="F107" s="247"/>
    </row>
    <row r="108" spans="2:6" ht="18.75">
      <c r="B108" s="3" t="s">
        <v>621</v>
      </c>
      <c r="C108" s="113">
        <v>270</v>
      </c>
      <c r="D108" s="3" t="s">
        <v>28</v>
      </c>
      <c r="E108" s="313" t="s">
        <v>622</v>
      </c>
      <c r="F108" s="247"/>
    </row>
  </sheetData>
  <sheetProtection password="EFDD" sheet="1" objects="1" scenarios="1"/>
  <mergeCells count="105">
    <mergeCell ref="E91:F91"/>
    <mergeCell ref="B85:F85"/>
    <mergeCell ref="E83:F83"/>
    <mergeCell ref="E84:F84"/>
    <mergeCell ref="E88:F88"/>
    <mergeCell ref="E97:F97"/>
    <mergeCell ref="B98:B99"/>
    <mergeCell ref="C98:C99"/>
    <mergeCell ref="D98:D99"/>
    <mergeCell ref="E98:F99"/>
    <mergeCell ref="B92:B93"/>
    <mergeCell ref="C92:C93"/>
    <mergeCell ref="D92:D93"/>
    <mergeCell ref="E92:F93"/>
    <mergeCell ref="E96:F96"/>
    <mergeCell ref="E95:F95"/>
    <mergeCell ref="E94:F94"/>
    <mergeCell ref="E90:F90"/>
    <mergeCell ref="E89:F89"/>
    <mergeCell ref="E87:F87"/>
    <mergeCell ref="E86:F86"/>
    <mergeCell ref="E105:F105"/>
    <mergeCell ref="E106:F106"/>
    <mergeCell ref="E107:F107"/>
    <mergeCell ref="E108:F108"/>
    <mergeCell ref="E103:F103"/>
    <mergeCell ref="E102:F102"/>
    <mergeCell ref="E100:F100"/>
    <mergeCell ref="E101:F101"/>
    <mergeCell ref="E104:F104"/>
    <mergeCell ref="B1:F1"/>
    <mergeCell ref="B3:F3"/>
    <mergeCell ref="B4:F7"/>
    <mergeCell ref="B74:F74"/>
    <mergeCell ref="B76:F76"/>
    <mergeCell ref="D65:F65"/>
    <mergeCell ref="E71:F71"/>
    <mergeCell ref="E70:F70"/>
    <mergeCell ref="E69:F69"/>
    <mergeCell ref="E68:F68"/>
    <mergeCell ref="E43:F43"/>
    <mergeCell ref="D61:F61"/>
    <mergeCell ref="D75:F75"/>
    <mergeCell ref="B22:F22"/>
    <mergeCell ref="E37:F37"/>
    <mergeCell ref="B23:F23"/>
    <mergeCell ref="D24:F24"/>
    <mergeCell ref="D25:F25"/>
    <mergeCell ref="D34:F34"/>
    <mergeCell ref="E31:F31"/>
    <mergeCell ref="D28:F28"/>
    <mergeCell ref="D29:F29"/>
    <mergeCell ref="B35:F35"/>
    <mergeCell ref="C37:D37"/>
    <mergeCell ref="B8:F8"/>
    <mergeCell ref="B9:F9"/>
    <mergeCell ref="B10:F10"/>
    <mergeCell ref="B11:F11"/>
    <mergeCell ref="B12:F13"/>
    <mergeCell ref="B15:F15"/>
    <mergeCell ref="D16:F16"/>
    <mergeCell ref="E19:F19"/>
    <mergeCell ref="E21:F21"/>
    <mergeCell ref="D17:F17"/>
    <mergeCell ref="E18:F18"/>
    <mergeCell ref="E20:F20"/>
    <mergeCell ref="B14:F14"/>
    <mergeCell ref="B82:F82"/>
    <mergeCell ref="D32:F32"/>
    <mergeCell ref="D33:F33"/>
    <mergeCell ref="B50:F50"/>
    <mergeCell ref="B72:F72"/>
    <mergeCell ref="D56:F56"/>
    <mergeCell ref="D62:F62"/>
    <mergeCell ref="E57:F57"/>
    <mergeCell ref="E54:F54"/>
    <mergeCell ref="E45:F45"/>
    <mergeCell ref="D63:F63"/>
    <mergeCell ref="D64:F64"/>
    <mergeCell ref="E81:F81"/>
    <mergeCell ref="B67:F67"/>
    <mergeCell ref="E41:F41"/>
    <mergeCell ref="E40:F40"/>
    <mergeCell ref="E77:F77"/>
    <mergeCell ref="E78:F78"/>
    <mergeCell ref="E55:F55"/>
    <mergeCell ref="B36:F36"/>
    <mergeCell ref="E39:F39"/>
    <mergeCell ref="E59:F59"/>
    <mergeCell ref="B44:F44"/>
    <mergeCell ref="B58:F58"/>
    <mergeCell ref="E52:F52"/>
    <mergeCell ref="E80:F80"/>
    <mergeCell ref="B79:F79"/>
    <mergeCell ref="B53:F53"/>
    <mergeCell ref="E48:F48"/>
    <mergeCell ref="E51:F51"/>
    <mergeCell ref="E26:F26"/>
    <mergeCell ref="B38:F38"/>
    <mergeCell ref="B42:F42"/>
    <mergeCell ref="E49:F49"/>
    <mergeCell ref="E60:F60"/>
    <mergeCell ref="E27:F27"/>
    <mergeCell ref="E30:F30"/>
    <mergeCell ref="B47:F47"/>
  </mergeCells>
  <phoneticPr fontId="39" type="noConversion"/>
  <dataValidations xWindow="1546" yWindow="526" count="1">
    <dataValidation type="custom" errorStyle="warning" allowBlank="1" showInputMessage="1" prompt="User must enter a value up to 100kHz" sqref="C30" xr:uid="{00000000-0002-0000-0000-000000000000}">
      <formula1>"&lt;100"</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1546" yWindow="526" count="1">
        <x14:dataValidation type="list" showErrorMessage="1" promptTitle="Select Input Voltage Type" prompt="Choose either AC or DC from the drop-down menu." xr:uid="{00000000-0002-0000-0000-000001000000}">
          <x14:formula1>
            <xm:f>'LOOKUP TABLES AND DROPDOWN LIST'!$B$1:$B$2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8:F146"/>
  <sheetViews>
    <sheetView topLeftCell="A114" zoomScaleNormal="100" workbookViewId="0">
      <selection activeCell="C147" sqref="C147"/>
    </sheetView>
  </sheetViews>
  <sheetFormatPr defaultColWidth="9.140625" defaultRowHeight="15"/>
  <cols>
    <col min="1" max="1" width="9.140625" style="131"/>
    <col min="2" max="2" width="36.7109375" style="131" customWidth="1"/>
    <col min="3" max="3" width="42" style="131" customWidth="1"/>
    <col min="4" max="4" width="12.7109375" style="131" customWidth="1"/>
    <col min="5" max="5" width="5.7109375" style="131" customWidth="1"/>
    <col min="6" max="6" width="20.140625" style="131" customWidth="1"/>
    <col min="7" max="16384" width="9.140625" style="131"/>
  </cols>
  <sheetData>
    <row r="28" spans="2:6" ht="15.75" thickBot="1"/>
    <row r="29" spans="2:6" ht="20.25">
      <c r="B29" s="380" t="s">
        <v>628</v>
      </c>
      <c r="C29" s="381"/>
      <c r="D29" s="381"/>
      <c r="E29" s="381"/>
      <c r="F29" s="382"/>
    </row>
    <row r="30" spans="2:6" ht="18.75" thickBot="1">
      <c r="B30" s="141" t="s">
        <v>625</v>
      </c>
      <c r="C30" s="383" t="s">
        <v>629</v>
      </c>
      <c r="D30" s="383"/>
      <c r="E30" s="383"/>
      <c r="F30" s="384"/>
    </row>
    <row r="31" spans="2:6" ht="15.75" thickBot="1">
      <c r="B31" s="353"/>
      <c r="C31" s="354"/>
      <c r="D31" s="354"/>
      <c r="E31" s="354"/>
      <c r="F31" s="355"/>
    </row>
    <row r="32" spans="2:6">
      <c r="B32" s="356" t="s">
        <v>249</v>
      </c>
      <c r="C32" s="134" t="s">
        <v>636</v>
      </c>
      <c r="D32" s="136">
        <f>Vbridge</f>
        <v>200</v>
      </c>
      <c r="E32" s="350" t="str">
        <f>CALCULATIONS!D48</f>
        <v>V</v>
      </c>
      <c r="F32" s="352"/>
    </row>
    <row r="33" spans="2:6">
      <c r="B33" s="360"/>
      <c r="C33" s="132" t="s">
        <v>635</v>
      </c>
      <c r="D33" s="139">
        <f>Ibridge</f>
        <v>0.11362846227226668</v>
      </c>
      <c r="E33" s="361" t="str">
        <f>CALCULATIONS!D49</f>
        <v>A</v>
      </c>
      <c r="F33" s="362"/>
    </row>
    <row r="34" spans="2:6" ht="15.75" thickBot="1">
      <c r="B34" s="357"/>
      <c r="C34" s="135" t="s">
        <v>637</v>
      </c>
      <c r="D34" s="137">
        <f>Pbridge</f>
        <v>208.38857220240365</v>
      </c>
      <c r="E34" s="358" t="str">
        <f>CALCULATIONS!D51</f>
        <v>mW</v>
      </c>
      <c r="F34" s="359"/>
    </row>
    <row r="35" spans="2:6" ht="15.75" thickBot="1">
      <c r="B35" s="353"/>
      <c r="C35" s="354"/>
      <c r="D35" s="354"/>
      <c r="E35" s="354"/>
      <c r="F35" s="355"/>
    </row>
    <row r="36" spans="2:6" ht="19.5" customHeight="1">
      <c r="B36" s="356" t="s">
        <v>726</v>
      </c>
      <c r="C36" s="165" t="s">
        <v>630</v>
      </c>
      <c r="D36" s="350" t="s">
        <v>699</v>
      </c>
      <c r="E36" s="351"/>
      <c r="F36" s="352"/>
    </row>
    <row r="37" spans="2:6" ht="15" customHeight="1">
      <c r="B37" s="360"/>
      <c r="C37" s="132" t="s">
        <v>638</v>
      </c>
      <c r="D37" s="133">
        <f>Cbulk</f>
        <v>9.4</v>
      </c>
      <c r="E37" s="133" t="str">
        <f>CALCULATIONS!D37</f>
        <v>µF</v>
      </c>
      <c r="F37" s="151" t="s">
        <v>627</v>
      </c>
    </row>
    <row r="38" spans="2:6" ht="15" customHeight="1">
      <c r="B38" s="360"/>
      <c r="C38" s="132" t="s">
        <v>634</v>
      </c>
      <c r="D38" s="133">
        <f>Vcin_rated</f>
        <v>200</v>
      </c>
      <c r="E38" s="361" t="str">
        <f>CALCULATIONS!D41</f>
        <v>V</v>
      </c>
      <c r="F38" s="362"/>
    </row>
    <row r="39" spans="2:6" ht="15.75" customHeight="1" thickBot="1">
      <c r="B39" s="357"/>
      <c r="C39" s="135" t="s">
        <v>657</v>
      </c>
      <c r="D39" s="137">
        <f>Icin</f>
        <v>104.19428610120183</v>
      </c>
      <c r="E39" s="358" t="str">
        <f>CALCULATIONS!D40</f>
        <v>mA</v>
      </c>
      <c r="F39" s="359"/>
    </row>
    <row r="40" spans="2:6" ht="16.5" customHeight="1" thickBot="1">
      <c r="B40" s="353"/>
      <c r="C40" s="354"/>
      <c r="D40" s="354"/>
      <c r="E40" s="354"/>
      <c r="F40" s="355"/>
    </row>
    <row r="41" spans="2:6" ht="16.5" customHeight="1">
      <c r="B41" s="356" t="s">
        <v>670</v>
      </c>
      <c r="C41" s="165" t="s">
        <v>630</v>
      </c>
      <c r="D41" s="350" t="s">
        <v>700</v>
      </c>
      <c r="E41" s="351"/>
      <c r="F41" s="352"/>
    </row>
    <row r="42" spans="2:6" ht="15.75" customHeight="1">
      <c r="B42" s="360"/>
      <c r="C42" s="132" t="s">
        <v>638</v>
      </c>
      <c r="D42" s="133">
        <f>Cext</f>
        <v>0</v>
      </c>
      <c r="E42" s="133" t="str">
        <f>CALCULATIONS!D236</f>
        <v>µF</v>
      </c>
      <c r="F42" s="166" t="s">
        <v>669</v>
      </c>
    </row>
    <row r="43" spans="2:6" ht="15.75" customHeight="1" thickBot="1">
      <c r="B43" s="357"/>
      <c r="C43" s="135" t="s">
        <v>634</v>
      </c>
      <c r="D43" s="167">
        <v>50</v>
      </c>
      <c r="E43" s="358" t="s">
        <v>10</v>
      </c>
      <c r="F43" s="359"/>
    </row>
    <row r="44" spans="2:6" ht="15.75" customHeight="1" thickBot="1">
      <c r="B44" s="353"/>
      <c r="C44" s="354"/>
      <c r="D44" s="354"/>
      <c r="E44" s="354"/>
      <c r="F44" s="355"/>
    </row>
    <row r="45" spans="2:6" ht="15.75" customHeight="1">
      <c r="B45" s="356" t="s">
        <v>671</v>
      </c>
      <c r="C45" s="165" t="s">
        <v>630</v>
      </c>
      <c r="D45" s="350" t="s">
        <v>700</v>
      </c>
      <c r="E45" s="351"/>
      <c r="F45" s="352"/>
    </row>
    <row r="46" spans="2:6" ht="15.75" customHeight="1">
      <c r="B46" s="360"/>
      <c r="C46" s="132" t="s">
        <v>638</v>
      </c>
      <c r="D46" s="133">
        <f>CALCULATIONS!C238</f>
        <v>4.7E-2</v>
      </c>
      <c r="E46" s="133" t="str">
        <f>CALCULATIONS!D238</f>
        <v>µF</v>
      </c>
      <c r="F46" s="166" t="s">
        <v>669</v>
      </c>
    </row>
    <row r="47" spans="2:6" ht="15.75" customHeight="1" thickBot="1">
      <c r="B47" s="357"/>
      <c r="C47" s="135" t="s">
        <v>634</v>
      </c>
      <c r="D47" s="150">
        <v>10</v>
      </c>
      <c r="E47" s="358" t="s">
        <v>10</v>
      </c>
      <c r="F47" s="359"/>
    </row>
    <row r="48" spans="2:6" ht="15.75" customHeight="1" thickBot="1">
      <c r="B48" s="353"/>
      <c r="C48" s="354"/>
      <c r="D48" s="354"/>
      <c r="E48" s="354"/>
      <c r="F48" s="355"/>
    </row>
    <row r="49" spans="2:6" ht="15.75" customHeight="1">
      <c r="B49" s="356" t="s">
        <v>727</v>
      </c>
      <c r="C49" s="165" t="s">
        <v>630</v>
      </c>
      <c r="D49" s="350" t="s">
        <v>699</v>
      </c>
      <c r="E49" s="351"/>
      <c r="F49" s="352"/>
    </row>
    <row r="50" spans="2:6" ht="15.75" customHeight="1">
      <c r="B50" s="360"/>
      <c r="C50" s="132" t="s">
        <v>656</v>
      </c>
      <c r="D50" s="168">
        <f>Cout</f>
        <v>820</v>
      </c>
      <c r="E50" s="133" t="str">
        <f>CALCULATIONS!D154</f>
        <v>µF</v>
      </c>
      <c r="F50" s="151" t="s">
        <v>627</v>
      </c>
    </row>
    <row r="51" spans="2:6" ht="15.75" customHeight="1">
      <c r="B51" s="360"/>
      <c r="C51" s="132" t="s">
        <v>634</v>
      </c>
      <c r="D51" s="139">
        <f>Vout_cv</f>
        <v>5</v>
      </c>
      <c r="E51" s="361" t="str">
        <f>CALCULATIONS!D16</f>
        <v>V</v>
      </c>
      <c r="F51" s="362"/>
    </row>
    <row r="52" spans="2:6" ht="15.75" customHeight="1">
      <c r="B52" s="360"/>
      <c r="C52" s="132" t="s">
        <v>657</v>
      </c>
      <c r="D52" s="139">
        <f>Icout_rms</f>
        <v>1.7107722872181603</v>
      </c>
      <c r="E52" s="361" t="str">
        <f>CALCULATIONS!D155</f>
        <v>A</v>
      </c>
      <c r="F52" s="362"/>
    </row>
    <row r="53" spans="2:6" ht="15.75" customHeight="1" thickBot="1">
      <c r="B53" s="357"/>
      <c r="C53" s="135" t="s">
        <v>658</v>
      </c>
      <c r="D53" s="137">
        <f>ESRrcmd</f>
        <v>14.418118343404988</v>
      </c>
      <c r="E53" s="358" t="str">
        <f>CALCULATIONS!D156</f>
        <v>mΩ</v>
      </c>
      <c r="F53" s="359"/>
    </row>
    <row r="54" spans="2:6" ht="15.75" customHeight="1" thickBot="1">
      <c r="B54" s="353"/>
      <c r="C54" s="354"/>
      <c r="D54" s="354"/>
      <c r="E54" s="354"/>
      <c r="F54" s="355"/>
    </row>
    <row r="55" spans="2:6" ht="15.75" customHeight="1">
      <c r="B55" s="356" t="s">
        <v>672</v>
      </c>
      <c r="C55" s="165" t="s">
        <v>630</v>
      </c>
      <c r="D55" s="350" t="s">
        <v>700</v>
      </c>
      <c r="E55" s="351"/>
      <c r="F55" s="352"/>
    </row>
    <row r="56" spans="2:6" ht="15.75" customHeight="1">
      <c r="B56" s="360"/>
      <c r="C56" s="132" t="s">
        <v>638</v>
      </c>
      <c r="D56" s="133">
        <v>1</v>
      </c>
      <c r="E56" s="133" t="s">
        <v>23</v>
      </c>
      <c r="F56" s="166" t="s">
        <v>669</v>
      </c>
    </row>
    <row r="57" spans="2:6" ht="15.75" customHeight="1" thickBot="1">
      <c r="B57" s="357"/>
      <c r="C57" s="135" t="s">
        <v>634</v>
      </c>
      <c r="D57" s="150">
        <v>10</v>
      </c>
      <c r="E57" s="358" t="s">
        <v>10</v>
      </c>
      <c r="F57" s="359"/>
    </row>
    <row r="58" spans="2:6" ht="15.75" customHeight="1" thickBot="1">
      <c r="B58" s="353"/>
      <c r="C58" s="354"/>
      <c r="D58" s="354"/>
      <c r="E58" s="354"/>
      <c r="F58" s="355"/>
    </row>
    <row r="59" spans="2:6" ht="15.75" customHeight="1">
      <c r="B59" s="356" t="s">
        <v>667</v>
      </c>
      <c r="C59" s="165" t="s">
        <v>630</v>
      </c>
      <c r="D59" s="350" t="s">
        <v>700</v>
      </c>
      <c r="E59" s="351"/>
      <c r="F59" s="352"/>
    </row>
    <row r="60" spans="2:6" ht="15.75" customHeight="1">
      <c r="B60" s="360"/>
      <c r="C60" s="132" t="s">
        <v>656</v>
      </c>
      <c r="D60" s="168">
        <f>Cvdd_rcmd</f>
        <v>6.8</v>
      </c>
      <c r="E60" s="169" t="str">
        <f>CALCULATIONS!D209</f>
        <v>µF</v>
      </c>
      <c r="F60" s="166" t="s">
        <v>669</v>
      </c>
    </row>
    <row r="61" spans="2:6" ht="15.75" customHeight="1" thickBot="1">
      <c r="B61" s="357"/>
      <c r="C61" s="135" t="s">
        <v>668</v>
      </c>
      <c r="D61" s="167">
        <v>50</v>
      </c>
      <c r="E61" s="358" t="s">
        <v>10</v>
      </c>
      <c r="F61" s="359"/>
    </row>
    <row r="62" spans="2:6" ht="15.75" customHeight="1" thickBot="1">
      <c r="B62" s="353"/>
      <c r="C62" s="354"/>
      <c r="D62" s="354"/>
      <c r="E62" s="354"/>
      <c r="F62" s="355"/>
    </row>
    <row r="63" spans="2:6" ht="15.75" customHeight="1">
      <c r="B63" s="356" t="s">
        <v>673</v>
      </c>
      <c r="C63" s="165" t="s">
        <v>630</v>
      </c>
      <c r="D63" s="350" t="s">
        <v>700</v>
      </c>
      <c r="E63" s="351"/>
      <c r="F63" s="352"/>
    </row>
    <row r="64" spans="2:6" ht="15.75" customHeight="1">
      <c r="B64" s="360"/>
      <c r="C64" s="132" t="s">
        <v>638</v>
      </c>
      <c r="D64" s="133">
        <f>Cz_actual</f>
        <v>270</v>
      </c>
      <c r="E64" s="133" t="str">
        <f>CALCULATIONS!D251</f>
        <v>pF</v>
      </c>
      <c r="F64" s="166" t="s">
        <v>669</v>
      </c>
    </row>
    <row r="65" spans="2:6" ht="15.75" customHeight="1" thickBot="1">
      <c r="B65" s="357"/>
      <c r="C65" s="135" t="s">
        <v>668</v>
      </c>
      <c r="D65" s="150">
        <v>10</v>
      </c>
      <c r="E65" s="150" t="s">
        <v>10</v>
      </c>
      <c r="F65" s="153"/>
    </row>
    <row r="66" spans="2:6" ht="15.75" customHeight="1" thickBot="1">
      <c r="B66" s="353"/>
      <c r="C66" s="354"/>
      <c r="D66" s="354"/>
      <c r="E66" s="354"/>
      <c r="F66" s="355"/>
    </row>
    <row r="67" spans="2:6" ht="15.75" customHeight="1">
      <c r="B67" s="356" t="s">
        <v>659</v>
      </c>
      <c r="C67" s="134" t="s">
        <v>630</v>
      </c>
      <c r="D67" s="375" t="s">
        <v>698</v>
      </c>
      <c r="E67" s="375"/>
      <c r="F67" s="376"/>
    </row>
    <row r="68" spans="2:6" ht="15.75" customHeight="1">
      <c r="B68" s="360"/>
      <c r="C68" s="132" t="s">
        <v>660</v>
      </c>
      <c r="D68" s="139">
        <f>VDbias_blocking</f>
        <v>53.523356258575333</v>
      </c>
      <c r="E68" s="361" t="str">
        <f>CALCULATIONS!D143</f>
        <v>V</v>
      </c>
      <c r="F68" s="362"/>
    </row>
    <row r="69" spans="2:6" ht="15.75" customHeight="1" thickBot="1">
      <c r="B69" s="357"/>
      <c r="C69" s="135" t="s">
        <v>661</v>
      </c>
      <c r="D69" s="150">
        <v>250</v>
      </c>
      <c r="E69" s="358" t="s">
        <v>36</v>
      </c>
      <c r="F69" s="359"/>
    </row>
    <row r="70" spans="2:6" ht="15.75" customHeight="1" thickBot="1">
      <c r="B70" s="353"/>
      <c r="C70" s="354"/>
      <c r="D70" s="354"/>
      <c r="E70" s="354"/>
      <c r="F70" s="355"/>
    </row>
    <row r="71" spans="2:6" ht="15.75" customHeight="1">
      <c r="B71" s="356" t="s">
        <v>674</v>
      </c>
      <c r="C71" s="134" t="s">
        <v>630</v>
      </c>
      <c r="D71" s="144" t="s">
        <v>676</v>
      </c>
      <c r="E71" s="143"/>
      <c r="F71" s="138"/>
    </row>
    <row r="72" spans="2:6" ht="15.75" customHeight="1">
      <c r="B72" s="360"/>
      <c r="C72" s="132" t="s">
        <v>675</v>
      </c>
      <c r="D72" s="139">
        <f>Vdrain_clamp</f>
        <v>363.54923689149763</v>
      </c>
      <c r="E72" s="361" t="str">
        <f>CALCULATIONS!D133</f>
        <v>V</v>
      </c>
      <c r="F72" s="362"/>
    </row>
    <row r="73" spans="2:6" ht="15.75" customHeight="1" thickBot="1">
      <c r="B73" s="357"/>
      <c r="C73" s="135" t="s">
        <v>663</v>
      </c>
      <c r="D73" s="137">
        <v>600</v>
      </c>
      <c r="E73" s="358" t="s">
        <v>13</v>
      </c>
      <c r="F73" s="359"/>
    </row>
    <row r="74" spans="2:6" ht="15.75" customHeight="1" thickBot="1">
      <c r="B74" s="353"/>
      <c r="C74" s="354"/>
      <c r="D74" s="354"/>
      <c r="E74" s="354"/>
      <c r="F74" s="355"/>
    </row>
    <row r="75" spans="2:6" ht="15.75" customHeight="1">
      <c r="B75" s="356" t="s">
        <v>682</v>
      </c>
      <c r="C75" s="134" t="s">
        <v>630</v>
      </c>
      <c r="D75" s="369" t="s">
        <v>697</v>
      </c>
      <c r="E75" s="369"/>
      <c r="F75" s="370"/>
    </row>
    <row r="76" spans="2:6" ht="15.75" customHeight="1">
      <c r="B76" s="360"/>
      <c r="C76" s="132" t="s">
        <v>654</v>
      </c>
      <c r="D76" s="139">
        <f>Vdout_blocking</f>
        <v>30.245296803652966</v>
      </c>
      <c r="E76" s="361" t="str">
        <f>CALCULATIONS!D137</f>
        <v>V</v>
      </c>
      <c r="F76" s="362"/>
    </row>
    <row r="77" spans="2:6" ht="15.75" customHeight="1">
      <c r="B77" s="360"/>
      <c r="C77" s="132" t="s">
        <v>655</v>
      </c>
      <c r="D77" s="139">
        <f>Idout</f>
        <v>2.0884074739292395</v>
      </c>
      <c r="E77" s="361" t="str">
        <f>CALCULATIONS!D138</f>
        <v>A</v>
      </c>
      <c r="F77" s="362"/>
    </row>
    <row r="78" spans="2:6" ht="15.75" customHeight="1" thickBot="1">
      <c r="B78" s="357"/>
      <c r="C78" s="135" t="s">
        <v>637</v>
      </c>
      <c r="D78" s="137">
        <f>Pdout</f>
        <v>0.43625664945919368</v>
      </c>
      <c r="E78" s="358" t="str">
        <f>CALCULATIONS!D139</f>
        <v>W</v>
      </c>
      <c r="F78" s="359"/>
    </row>
    <row r="79" spans="2:6" ht="15.75" customHeight="1" thickBot="1">
      <c r="B79" s="353"/>
      <c r="C79" s="354"/>
      <c r="D79" s="354"/>
      <c r="E79" s="354"/>
      <c r="F79" s="355"/>
    </row>
    <row r="80" spans="2:6" ht="15.75" customHeight="1">
      <c r="B80" s="356" t="s">
        <v>677</v>
      </c>
      <c r="C80" s="134" t="s">
        <v>630</v>
      </c>
      <c r="D80" s="350" t="s">
        <v>678</v>
      </c>
      <c r="E80" s="351"/>
      <c r="F80" s="352"/>
    </row>
    <row r="81" spans="2:6" ht="15.75" customHeight="1">
      <c r="B81" s="360"/>
      <c r="C81" s="132" t="s">
        <v>668</v>
      </c>
      <c r="D81" s="133">
        <v>1000</v>
      </c>
      <c r="E81" s="361" t="s">
        <v>10</v>
      </c>
      <c r="F81" s="362"/>
    </row>
    <row r="82" spans="2:6" ht="15" customHeight="1" thickBot="1">
      <c r="B82" s="357"/>
      <c r="C82" s="135" t="s">
        <v>679</v>
      </c>
      <c r="D82" s="150">
        <v>1</v>
      </c>
      <c r="E82" s="358" t="s">
        <v>12</v>
      </c>
      <c r="F82" s="359"/>
    </row>
    <row r="83" spans="2:6" ht="15.75" customHeight="1" thickBot="1">
      <c r="B83" s="353"/>
      <c r="C83" s="354"/>
      <c r="D83" s="354"/>
      <c r="E83" s="354"/>
      <c r="F83" s="355"/>
    </row>
    <row r="84" spans="2:6" ht="18.75" customHeight="1">
      <c r="B84" s="356" t="s">
        <v>626</v>
      </c>
      <c r="C84" s="134" t="s">
        <v>630</v>
      </c>
      <c r="D84" s="385" t="s">
        <v>650</v>
      </c>
      <c r="E84" s="386"/>
      <c r="F84" s="387"/>
    </row>
    <row r="85" spans="2:6">
      <c r="B85" s="360"/>
      <c r="C85" s="132" t="s">
        <v>634</v>
      </c>
      <c r="D85" s="133">
        <f>CALCULATIONS!C44</f>
        <v>130</v>
      </c>
      <c r="E85" s="361" t="str">
        <f>CALCULATIONS!D44</f>
        <v>VAC</v>
      </c>
      <c r="F85" s="362"/>
    </row>
    <row r="86" spans="2:6" ht="15.75" thickBot="1">
      <c r="B86" s="357"/>
      <c r="C86" s="135" t="s">
        <v>728</v>
      </c>
      <c r="D86" s="137">
        <f>Iin_peak</f>
        <v>0.34577525049069741</v>
      </c>
      <c r="E86" s="358" t="str">
        <f>CALCULATIONS!D45</f>
        <v>A</v>
      </c>
      <c r="F86" s="359"/>
    </row>
    <row r="87" spans="2:6" ht="15.75" thickBot="1">
      <c r="B87" s="353"/>
      <c r="C87" s="354"/>
      <c r="D87" s="354"/>
      <c r="E87" s="354"/>
      <c r="F87" s="355"/>
    </row>
    <row r="88" spans="2:6" ht="20.25" thickBot="1">
      <c r="B88" s="158" t="s">
        <v>680</v>
      </c>
      <c r="C88" s="159" t="s">
        <v>683</v>
      </c>
      <c r="D88" s="160">
        <f>CTRmin</f>
        <v>50</v>
      </c>
      <c r="E88" s="371" t="str">
        <f>CALCULATIONS!D226</f>
        <v>%</v>
      </c>
      <c r="F88" s="372"/>
    </row>
    <row r="89" spans="2:6" ht="15.75" thickBot="1">
      <c r="B89" s="353"/>
      <c r="C89" s="354"/>
      <c r="D89" s="354"/>
      <c r="E89" s="354"/>
      <c r="F89" s="355"/>
    </row>
    <row r="90" spans="2:6" ht="19.5">
      <c r="B90" s="356" t="s">
        <v>649</v>
      </c>
      <c r="C90" s="134" t="s">
        <v>651</v>
      </c>
      <c r="D90" s="136">
        <f>Vds</f>
        <v>700</v>
      </c>
      <c r="E90" s="350" t="str">
        <f>CALCULATIONS!D118</f>
        <v>V</v>
      </c>
      <c r="F90" s="352"/>
    </row>
    <row r="91" spans="2:6">
      <c r="B91" s="360"/>
      <c r="C91" s="132" t="s">
        <v>652</v>
      </c>
      <c r="D91" s="139">
        <f>Idrain</f>
        <v>0.9950453401188718</v>
      </c>
      <c r="E91" s="361" t="str">
        <f>CALCULATIONS!D128</f>
        <v>A</v>
      </c>
      <c r="F91" s="362"/>
    </row>
    <row r="92" spans="2:6">
      <c r="B92" s="360"/>
      <c r="C92" s="132" t="s">
        <v>653</v>
      </c>
      <c r="D92" s="139">
        <f>Ipulsed</f>
        <v>2.6816840976133012</v>
      </c>
      <c r="E92" s="361" t="str">
        <f>CALCULATIONS!D129</f>
        <v>A</v>
      </c>
      <c r="F92" s="362"/>
    </row>
    <row r="93" spans="2:6" ht="15.75" thickBot="1">
      <c r="B93" s="357"/>
      <c r="C93" s="135" t="s">
        <v>637</v>
      </c>
      <c r="D93" s="137">
        <f>Pfet</f>
        <v>2.0469077466308459E-2</v>
      </c>
      <c r="E93" s="358" t="str">
        <f>CALCULATIONS!D132</f>
        <v>W</v>
      </c>
      <c r="F93" s="359"/>
    </row>
    <row r="94" spans="2:6" ht="15.75" thickBot="1">
      <c r="B94" s="353"/>
      <c r="C94" s="354"/>
      <c r="D94" s="354"/>
      <c r="E94" s="354"/>
      <c r="F94" s="355"/>
    </row>
    <row r="95" spans="2:6">
      <c r="B95" s="356" t="s">
        <v>647</v>
      </c>
      <c r="C95" s="134" t="s">
        <v>638</v>
      </c>
      <c r="D95" s="148">
        <f>Rcs</f>
        <v>3.0510000000000002</v>
      </c>
      <c r="E95" s="136" t="str">
        <f>CALCULATIONS!D76</f>
        <v>Ω</v>
      </c>
      <c r="F95" s="140" t="s">
        <v>664</v>
      </c>
    </row>
    <row r="96" spans="2:6">
      <c r="B96" s="360"/>
      <c r="C96" s="132" t="s">
        <v>637</v>
      </c>
      <c r="D96" s="139">
        <f>P_Rcs</f>
        <v>26.964184328317003</v>
      </c>
      <c r="E96" s="361" t="str">
        <f>CALCULATIONS!D77</f>
        <v>mW</v>
      </c>
      <c r="F96" s="362"/>
    </row>
    <row r="97" spans="2:6" ht="15.75" thickBot="1">
      <c r="B97" s="357"/>
      <c r="C97" s="135" t="s">
        <v>630</v>
      </c>
      <c r="D97" s="377" t="s">
        <v>648</v>
      </c>
      <c r="E97" s="378"/>
      <c r="F97" s="379"/>
    </row>
    <row r="98" spans="2:6" ht="15.75" thickBot="1">
      <c r="B98" s="353"/>
      <c r="C98" s="354"/>
      <c r="D98" s="354"/>
      <c r="E98" s="354"/>
      <c r="F98" s="355"/>
    </row>
    <row r="99" spans="2:6" ht="15" customHeight="1">
      <c r="B99" s="363" t="s">
        <v>689</v>
      </c>
      <c r="C99" s="134" t="s">
        <v>638</v>
      </c>
      <c r="D99" s="136">
        <f>Rfb1_actual</f>
        <v>536</v>
      </c>
      <c r="E99" s="136" t="str">
        <f>CALCULATIONS!D223</f>
        <v>kΩ</v>
      </c>
      <c r="F99" s="140" t="s">
        <v>664</v>
      </c>
    </row>
    <row r="100" spans="2:6" ht="15.75" customHeight="1" thickBot="1">
      <c r="B100" s="364"/>
      <c r="C100" s="135" t="s">
        <v>663</v>
      </c>
      <c r="D100" s="161">
        <v>0.1</v>
      </c>
      <c r="E100" s="365" t="s">
        <v>13</v>
      </c>
      <c r="F100" s="366"/>
    </row>
    <row r="101" spans="2:6" ht="15.75" thickBot="1">
      <c r="B101" s="353"/>
      <c r="C101" s="354"/>
      <c r="D101" s="354"/>
      <c r="E101" s="354"/>
      <c r="F101" s="355"/>
    </row>
    <row r="102" spans="2:6">
      <c r="B102" s="356" t="s">
        <v>690</v>
      </c>
      <c r="C102" s="134" t="s">
        <v>638</v>
      </c>
      <c r="D102" s="162">
        <f>R_fb2</f>
        <v>178</v>
      </c>
      <c r="E102" s="163" t="str">
        <f>CALCULATIONS!D218</f>
        <v>kΩ</v>
      </c>
      <c r="F102" s="140" t="s">
        <v>664</v>
      </c>
    </row>
    <row r="103" spans="2:6" ht="15.75" thickBot="1">
      <c r="B103" s="357"/>
      <c r="C103" s="135" t="s">
        <v>663</v>
      </c>
      <c r="D103" s="161">
        <v>0.1</v>
      </c>
      <c r="E103" s="358" t="s">
        <v>13</v>
      </c>
      <c r="F103" s="359"/>
    </row>
    <row r="104" spans="2:6" ht="15.75" thickBot="1">
      <c r="B104" s="353"/>
      <c r="C104" s="354"/>
      <c r="D104" s="354"/>
      <c r="E104" s="354"/>
      <c r="F104" s="355"/>
    </row>
    <row r="105" spans="2:6">
      <c r="B105" s="356" t="s">
        <v>691</v>
      </c>
      <c r="C105" s="134" t="s">
        <v>638</v>
      </c>
      <c r="D105" s="162">
        <v>100</v>
      </c>
      <c r="E105" s="163" t="str">
        <f>CALCULATIONS!D221</f>
        <v>kΩ</v>
      </c>
      <c r="F105" s="140" t="s">
        <v>664</v>
      </c>
    </row>
    <row r="106" spans="2:6" ht="15.75" thickBot="1">
      <c r="B106" s="357"/>
      <c r="C106" s="135" t="s">
        <v>663</v>
      </c>
      <c r="D106" s="161">
        <v>0.1</v>
      </c>
      <c r="E106" s="358" t="s">
        <v>13</v>
      </c>
      <c r="F106" s="359"/>
    </row>
    <row r="107" spans="2:6" ht="15.75" thickBot="1">
      <c r="B107" s="353"/>
      <c r="C107" s="354"/>
      <c r="D107" s="354"/>
      <c r="E107" s="354"/>
      <c r="F107" s="355"/>
    </row>
    <row r="108" spans="2:6" ht="15.75">
      <c r="B108" s="356" t="s">
        <v>692</v>
      </c>
      <c r="C108" s="134" t="s">
        <v>638</v>
      </c>
      <c r="D108" s="162">
        <f>R_fb4</f>
        <v>21.4</v>
      </c>
      <c r="E108" s="163" t="s">
        <v>694</v>
      </c>
      <c r="F108" s="140" t="s">
        <v>664</v>
      </c>
    </row>
    <row r="109" spans="2:6" ht="15.75" thickBot="1">
      <c r="B109" s="357"/>
      <c r="C109" s="135" t="s">
        <v>663</v>
      </c>
      <c r="D109" s="161">
        <v>0.1</v>
      </c>
      <c r="E109" s="358" t="s">
        <v>13</v>
      </c>
      <c r="F109" s="359"/>
    </row>
    <row r="110" spans="2:6" ht="15.75" thickBot="1">
      <c r="B110" s="353"/>
      <c r="C110" s="354"/>
      <c r="D110" s="354"/>
      <c r="E110" s="354"/>
      <c r="F110" s="355"/>
    </row>
    <row r="111" spans="2:6" ht="15.75">
      <c r="B111" s="367" t="s">
        <v>684</v>
      </c>
      <c r="C111" s="134" t="s">
        <v>638</v>
      </c>
      <c r="D111" s="145">
        <f>Rinj</f>
        <v>20</v>
      </c>
      <c r="E111" s="157" t="s">
        <v>48</v>
      </c>
      <c r="F111" s="140" t="s">
        <v>664</v>
      </c>
    </row>
    <row r="112" spans="2:6" ht="15.75" thickBot="1">
      <c r="B112" s="368"/>
      <c r="C112" s="135" t="s">
        <v>663</v>
      </c>
      <c r="D112" s="161">
        <v>0.1</v>
      </c>
      <c r="E112" s="358" t="s">
        <v>13</v>
      </c>
      <c r="F112" s="359"/>
    </row>
    <row r="113" spans="2:6" ht="15.75" thickBot="1">
      <c r="B113" s="353"/>
      <c r="C113" s="354"/>
      <c r="D113" s="354"/>
      <c r="E113" s="354"/>
      <c r="F113" s="355"/>
    </row>
    <row r="114" spans="2:6">
      <c r="B114" s="363" t="s">
        <v>666</v>
      </c>
      <c r="C114" s="134" t="s">
        <v>638</v>
      </c>
      <c r="D114" s="145">
        <f>Rlc</f>
        <v>0.64900000000000002</v>
      </c>
      <c r="E114" s="145" t="str">
        <f>CALCULATIONS!D196</f>
        <v>kΩ</v>
      </c>
      <c r="F114" s="140" t="s">
        <v>664</v>
      </c>
    </row>
    <row r="115" spans="2:6" ht="15.75" thickBot="1">
      <c r="B115" s="364"/>
      <c r="C115" s="135" t="s">
        <v>663</v>
      </c>
      <c r="D115" s="161">
        <v>0.1</v>
      </c>
      <c r="E115" s="358" t="s">
        <v>13</v>
      </c>
      <c r="F115" s="359"/>
    </row>
    <row r="116" spans="2:6" ht="15.75" thickBot="1">
      <c r="B116" s="353"/>
      <c r="C116" s="354"/>
      <c r="D116" s="354"/>
      <c r="E116" s="354"/>
      <c r="F116" s="355"/>
    </row>
    <row r="117" spans="2:6" ht="15.75">
      <c r="B117" s="363" t="s">
        <v>693</v>
      </c>
      <c r="C117" s="134" t="s">
        <v>638</v>
      </c>
      <c r="D117" s="145">
        <v>1</v>
      </c>
      <c r="E117" s="145" t="s">
        <v>694</v>
      </c>
      <c r="F117" s="140" t="s">
        <v>664</v>
      </c>
    </row>
    <row r="118" spans="2:6" ht="15.75" thickBot="1">
      <c r="B118" s="364"/>
      <c r="C118" s="135" t="s">
        <v>663</v>
      </c>
      <c r="D118" s="161">
        <v>0.1</v>
      </c>
      <c r="E118" s="358" t="s">
        <v>13</v>
      </c>
      <c r="F118" s="359"/>
    </row>
    <row r="119" spans="2:6" ht="15.75" thickBot="1">
      <c r="B119" s="353"/>
      <c r="C119" s="354"/>
      <c r="D119" s="354"/>
      <c r="E119" s="354"/>
      <c r="F119" s="355"/>
    </row>
    <row r="120" spans="2:6">
      <c r="B120" s="363" t="s">
        <v>695</v>
      </c>
      <c r="C120" s="134" t="s">
        <v>638</v>
      </c>
      <c r="D120" s="145">
        <f>R_tl</f>
        <v>1.5</v>
      </c>
      <c r="E120" s="145" t="str">
        <f>CALCULATIONS!D249</f>
        <v>kΩ</v>
      </c>
      <c r="F120" s="140" t="s">
        <v>664</v>
      </c>
    </row>
    <row r="121" spans="2:6" ht="15.75" thickBot="1">
      <c r="B121" s="364"/>
      <c r="C121" s="135" t="s">
        <v>663</v>
      </c>
      <c r="D121" s="161">
        <v>0.1</v>
      </c>
      <c r="E121" s="358" t="s">
        <v>13</v>
      </c>
      <c r="F121" s="359"/>
    </row>
    <row r="122" spans="2:6" ht="15.75" thickBot="1">
      <c r="B122" s="353"/>
      <c r="C122" s="354"/>
      <c r="D122" s="354"/>
      <c r="E122" s="354"/>
      <c r="F122" s="355"/>
    </row>
    <row r="123" spans="2:6" ht="15.75">
      <c r="B123" s="356" t="s">
        <v>685</v>
      </c>
      <c r="C123" s="134" t="s">
        <v>638</v>
      </c>
      <c r="D123" s="154" t="s">
        <v>686</v>
      </c>
      <c r="E123" s="155" t="s">
        <v>48</v>
      </c>
      <c r="F123" s="373" t="s">
        <v>687</v>
      </c>
    </row>
    <row r="124" spans="2:6" ht="15.75" thickBot="1">
      <c r="B124" s="357"/>
      <c r="C124" s="135" t="s">
        <v>663</v>
      </c>
      <c r="D124" s="156" t="s">
        <v>688</v>
      </c>
      <c r="E124" s="149" t="s">
        <v>13</v>
      </c>
      <c r="F124" s="374"/>
    </row>
    <row r="125" spans="2:6" ht="15.75" thickBot="1">
      <c r="B125" s="353"/>
      <c r="C125" s="354"/>
      <c r="D125" s="354"/>
      <c r="E125" s="354"/>
      <c r="F125" s="355"/>
    </row>
    <row r="126" spans="2:6">
      <c r="B126" s="356" t="s">
        <v>662</v>
      </c>
      <c r="C126" s="134" t="s">
        <v>638</v>
      </c>
      <c r="D126" s="136">
        <f>R_vs1</f>
        <v>59</v>
      </c>
      <c r="E126" s="136" t="str">
        <f>CALCULATIONS!D172</f>
        <v>kΩ</v>
      </c>
      <c r="F126" s="140" t="s">
        <v>664</v>
      </c>
    </row>
    <row r="127" spans="2:6" ht="15.75" thickBot="1">
      <c r="B127" s="357"/>
      <c r="C127" s="135" t="s">
        <v>663</v>
      </c>
      <c r="D127" s="161">
        <v>0.1</v>
      </c>
      <c r="E127" s="358" t="s">
        <v>13</v>
      </c>
      <c r="F127" s="359"/>
    </row>
    <row r="128" spans="2:6" ht="15.75" thickBot="1">
      <c r="B128" s="353"/>
      <c r="C128" s="354"/>
      <c r="D128" s="354"/>
      <c r="E128" s="354"/>
      <c r="F128" s="355"/>
    </row>
    <row r="129" spans="2:6">
      <c r="B129" s="363" t="s">
        <v>665</v>
      </c>
      <c r="C129" s="134" t="s">
        <v>638</v>
      </c>
      <c r="D129" s="136">
        <f>R_vs2</f>
        <v>28.7</v>
      </c>
      <c r="E129" s="136" t="str">
        <f>CALCULATIONS!D186</f>
        <v>kΩ</v>
      </c>
      <c r="F129" s="140" t="s">
        <v>664</v>
      </c>
    </row>
    <row r="130" spans="2:6" ht="15.75" thickBot="1">
      <c r="B130" s="364"/>
      <c r="C130" s="135" t="s">
        <v>663</v>
      </c>
      <c r="D130" s="161">
        <v>0.1</v>
      </c>
      <c r="E130" s="358" t="s">
        <v>13</v>
      </c>
      <c r="F130" s="359"/>
    </row>
    <row r="131" spans="2:6" ht="15.75" thickBot="1">
      <c r="B131" s="353"/>
      <c r="C131" s="354"/>
      <c r="D131" s="354"/>
      <c r="E131" s="354"/>
      <c r="F131" s="355"/>
    </row>
    <row r="132" spans="2:6" ht="16.5" thickBot="1">
      <c r="B132" s="152" t="s">
        <v>681</v>
      </c>
      <c r="C132" s="160" t="s">
        <v>696</v>
      </c>
      <c r="D132" s="160">
        <f>Vref431</f>
        <v>1.258</v>
      </c>
      <c r="E132" s="160" t="str">
        <f>CALCULATIONS!D212</f>
        <v>V</v>
      </c>
      <c r="F132" s="164"/>
    </row>
    <row r="133" spans="2:6" ht="15.75" thickBot="1">
      <c r="B133" s="353"/>
      <c r="C133" s="354"/>
      <c r="D133" s="354"/>
      <c r="E133" s="354"/>
      <c r="F133" s="355"/>
    </row>
    <row r="134" spans="2:6" ht="15" customHeight="1">
      <c r="B134" s="356" t="s">
        <v>633</v>
      </c>
      <c r="C134" s="134" t="s">
        <v>639</v>
      </c>
      <c r="D134" s="136">
        <f>Lp</f>
        <v>4000</v>
      </c>
      <c r="E134" s="350" t="str">
        <f>CALCULATIONS!D94</f>
        <v>µH</v>
      </c>
      <c r="F134" s="352"/>
    </row>
    <row r="135" spans="2:6" ht="19.5">
      <c r="B135" s="360"/>
      <c r="C135" s="132" t="s">
        <v>640</v>
      </c>
      <c r="D135" s="139">
        <f>Nps</f>
        <v>21.9</v>
      </c>
      <c r="E135" s="133"/>
      <c r="F135" s="151" t="s">
        <v>631</v>
      </c>
    </row>
    <row r="136" spans="2:6" ht="18.75" customHeight="1">
      <c r="B136" s="360"/>
      <c r="C136" s="132" t="s">
        <v>641</v>
      </c>
      <c r="D136" s="139">
        <f>Npa</f>
        <v>7.5510000000000002</v>
      </c>
      <c r="E136" s="146"/>
      <c r="F136" s="151" t="s">
        <v>632</v>
      </c>
    </row>
    <row r="137" spans="2:6">
      <c r="B137" s="360"/>
      <c r="C137" s="132" t="s">
        <v>642</v>
      </c>
      <c r="D137" s="139">
        <f>Ipp_nom</f>
        <v>0.25335955424451001</v>
      </c>
      <c r="E137" s="361" t="str">
        <f>CALCULATIONS!D82</f>
        <v>A</v>
      </c>
      <c r="F137" s="362"/>
    </row>
    <row r="138" spans="2:6">
      <c r="B138" s="360"/>
      <c r="C138" s="147" t="s">
        <v>643</v>
      </c>
      <c r="D138" s="139">
        <f>Ipri_RMS</f>
        <v>9.4009672522564078E-2</v>
      </c>
      <c r="E138" s="361" t="str">
        <f>CALCULATIONS!D100</f>
        <v>A</v>
      </c>
      <c r="F138" s="362"/>
    </row>
    <row r="139" spans="2:6">
      <c r="B139" s="360"/>
      <c r="C139" s="132" t="s">
        <v>644</v>
      </c>
      <c r="D139" s="139">
        <f>Isp_max</f>
        <v>5.5485742379547691</v>
      </c>
      <c r="E139" s="361" t="str">
        <f>CALCULATIONS!D101</f>
        <v>A</v>
      </c>
      <c r="F139" s="362"/>
    </row>
    <row r="140" spans="2:6">
      <c r="B140" s="360"/>
      <c r="C140" s="132" t="s">
        <v>645</v>
      </c>
      <c r="D140" s="139">
        <f>Isec_rms</f>
        <v>2.0884074739292395</v>
      </c>
      <c r="E140" s="361" t="str">
        <f>CALCULATIONS!D102</f>
        <v>A</v>
      </c>
      <c r="F140" s="362"/>
    </row>
    <row r="141" spans="2:6" ht="15.75" customHeight="1" thickBot="1">
      <c r="B141" s="357"/>
      <c r="C141" s="135" t="s">
        <v>646</v>
      </c>
      <c r="D141" s="137">
        <f>fmax</f>
        <v>49.318522000323405</v>
      </c>
      <c r="E141" s="365" t="str">
        <f>CALCULATIONS!D95</f>
        <v>kHz</v>
      </c>
      <c r="F141" s="366"/>
    </row>
    <row r="142" spans="2:6" ht="15.75" customHeight="1"/>
    <row r="143" spans="2:6" ht="18.75" customHeight="1"/>
    <row r="144" spans="2:6" ht="18.75" customHeight="1"/>
    <row r="146" ht="18.75" customHeight="1"/>
  </sheetData>
  <sheetProtection password="EFDD" sheet="1" objects="1" scenarios="1"/>
  <mergeCells count="116">
    <mergeCell ref="B29:F29"/>
    <mergeCell ref="E57:F57"/>
    <mergeCell ref="E137:F137"/>
    <mergeCell ref="E138:F138"/>
    <mergeCell ref="C30:F30"/>
    <mergeCell ref="D84:F84"/>
    <mergeCell ref="B84:B86"/>
    <mergeCell ref="B32:B34"/>
    <mergeCell ref="B31:F31"/>
    <mergeCell ref="B80:B82"/>
    <mergeCell ref="B75:B78"/>
    <mergeCell ref="D36:F36"/>
    <mergeCell ref="B36:B39"/>
    <mergeCell ref="B41:B43"/>
    <mergeCell ref="E38:F38"/>
    <mergeCell ref="E39:F39"/>
    <mergeCell ref="E34:F34"/>
    <mergeCell ref="E33:F33"/>
    <mergeCell ref="E32:F32"/>
    <mergeCell ref="E86:F86"/>
    <mergeCell ref="B35:F35"/>
    <mergeCell ref="B40:F40"/>
    <mergeCell ref="D80:F80"/>
    <mergeCell ref="E81:F81"/>
    <mergeCell ref="B134:B141"/>
    <mergeCell ref="E134:F134"/>
    <mergeCell ref="E141:F141"/>
    <mergeCell ref="E96:F96"/>
    <mergeCell ref="D97:F97"/>
    <mergeCell ref="B95:B97"/>
    <mergeCell ref="E90:F90"/>
    <mergeCell ref="E91:F91"/>
    <mergeCell ref="E92:F92"/>
    <mergeCell ref="E93:F93"/>
    <mergeCell ref="B90:B93"/>
    <mergeCell ref="E139:F139"/>
    <mergeCell ref="E140:F140"/>
    <mergeCell ref="B126:B127"/>
    <mergeCell ref="E127:F127"/>
    <mergeCell ref="E130:F130"/>
    <mergeCell ref="B129:B130"/>
    <mergeCell ref="E52:F52"/>
    <mergeCell ref="E53:F53"/>
    <mergeCell ref="E68:F68"/>
    <mergeCell ref="E69:F69"/>
    <mergeCell ref="D67:F67"/>
    <mergeCell ref="B67:B69"/>
    <mergeCell ref="B66:F66"/>
    <mergeCell ref="E76:F76"/>
    <mergeCell ref="E77:F77"/>
    <mergeCell ref="E61:F61"/>
    <mergeCell ref="B63:B65"/>
    <mergeCell ref="B59:B61"/>
    <mergeCell ref="B55:B57"/>
    <mergeCell ref="B62:F62"/>
    <mergeCell ref="B58:F58"/>
    <mergeCell ref="B54:F54"/>
    <mergeCell ref="E78:F78"/>
    <mergeCell ref="D75:F75"/>
    <mergeCell ref="B74:F74"/>
    <mergeCell ref="B70:F70"/>
    <mergeCell ref="E85:F85"/>
    <mergeCell ref="E88:F88"/>
    <mergeCell ref="F123:F124"/>
    <mergeCell ref="B123:B124"/>
    <mergeCell ref="E115:F115"/>
    <mergeCell ref="B114:B115"/>
    <mergeCell ref="E82:F82"/>
    <mergeCell ref="E43:F43"/>
    <mergeCell ref="E47:F47"/>
    <mergeCell ref="B71:B73"/>
    <mergeCell ref="E72:F72"/>
    <mergeCell ref="E73:F73"/>
    <mergeCell ref="E51:F51"/>
    <mergeCell ref="B117:B118"/>
    <mergeCell ref="B120:B121"/>
    <mergeCell ref="E121:F121"/>
    <mergeCell ref="E100:F100"/>
    <mergeCell ref="B99:B100"/>
    <mergeCell ref="B102:B103"/>
    <mergeCell ref="E103:F103"/>
    <mergeCell ref="B105:B106"/>
    <mergeCell ref="E106:F106"/>
    <mergeCell ref="E112:F112"/>
    <mergeCell ref="B111:B112"/>
    <mergeCell ref="B94:F94"/>
    <mergeCell ref="B89:F89"/>
    <mergeCell ref="B87:F87"/>
    <mergeCell ref="B83:F83"/>
    <mergeCell ref="B79:F79"/>
    <mergeCell ref="B45:B47"/>
    <mergeCell ref="D63:F63"/>
    <mergeCell ref="D41:F41"/>
    <mergeCell ref="D45:F45"/>
    <mergeCell ref="B133:F133"/>
    <mergeCell ref="B131:F131"/>
    <mergeCell ref="B128:F128"/>
    <mergeCell ref="B125:F125"/>
    <mergeCell ref="B122:F122"/>
    <mergeCell ref="B119:F119"/>
    <mergeCell ref="B116:F116"/>
    <mergeCell ref="B113:F113"/>
    <mergeCell ref="B110:F110"/>
    <mergeCell ref="B107:F107"/>
    <mergeCell ref="B104:F104"/>
    <mergeCell ref="B101:F101"/>
    <mergeCell ref="B98:F98"/>
    <mergeCell ref="B108:B109"/>
    <mergeCell ref="E109:F109"/>
    <mergeCell ref="E118:F118"/>
    <mergeCell ref="B48:F48"/>
    <mergeCell ref="B44:F44"/>
    <mergeCell ref="D49:F49"/>
    <mergeCell ref="B49:B53"/>
    <mergeCell ref="D55:F55"/>
    <mergeCell ref="D59:F59"/>
  </mergeCells>
  <phoneticPr fontId="39" type="noConversion"/>
  <pageMargins left="0" right="0" top="0.74803149606299213" bottom="0.74803149606299213" header="0.31496062992125984" footer="0.31496062992125984"/>
  <pageSetup paperSize="8" orientation="portrait" r:id="rId1"/>
  <drawing r:id="rId2"/>
  <legacyDrawing r:id="rId3"/>
  <oleObjects>
    <mc:AlternateContent xmlns:mc="http://schemas.openxmlformats.org/markup-compatibility/2006">
      <mc:Choice Requires="x14">
        <oleObject progId="Visio.Drawing.11" shapeId="4101" r:id="rId4">
          <objectPr defaultSize="0" r:id="rId5">
            <anchor moveWithCells="1">
              <from>
                <xdr:col>1</xdr:col>
                <xdr:colOff>0</xdr:colOff>
                <xdr:row>1</xdr:row>
                <xdr:rowOff>0</xdr:rowOff>
              </from>
              <to>
                <xdr:col>7</xdr:col>
                <xdr:colOff>228600</xdr:colOff>
                <xdr:row>25</xdr:row>
                <xdr:rowOff>114300</xdr:rowOff>
              </to>
            </anchor>
          </objectPr>
        </oleObject>
      </mc:Choice>
      <mc:Fallback>
        <oleObject progId="Visio.Drawing.11" shapeId="410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7"/>
  <sheetViews>
    <sheetView topLeftCell="A63" zoomScaleNormal="100" workbookViewId="0">
      <selection activeCell="C155" sqref="C155"/>
    </sheetView>
  </sheetViews>
  <sheetFormatPr defaultColWidth="9.140625" defaultRowHeight="14.25"/>
  <cols>
    <col min="1" max="1" width="65.140625" style="2" customWidth="1"/>
    <col min="2" max="2" width="23.85546875" style="2" customWidth="1"/>
    <col min="3" max="3" width="19" style="2" bestFit="1" customWidth="1"/>
    <col min="4" max="4" width="9.140625" style="2"/>
    <col min="5" max="5" width="38.7109375" style="2" customWidth="1"/>
    <col min="6" max="6" width="9.140625" style="2"/>
    <col min="7" max="7" width="14.140625" style="2" bestFit="1" customWidth="1"/>
    <col min="8" max="16384" width="9.140625" style="2"/>
  </cols>
  <sheetData>
    <row r="1" spans="1:5" ht="27.75">
      <c r="A1" s="474" t="s">
        <v>9</v>
      </c>
      <c r="B1" s="474"/>
      <c r="C1" s="474"/>
      <c r="D1" s="474"/>
      <c r="E1" s="474"/>
    </row>
    <row r="2" spans="1:5" ht="45" customHeight="1" thickBot="1">
      <c r="A2" s="475" t="s">
        <v>57</v>
      </c>
      <c r="B2" s="475"/>
      <c r="C2" s="475"/>
      <c r="D2" s="475"/>
      <c r="E2" s="475"/>
    </row>
    <row r="3" spans="1:5" ht="18.75" customHeight="1">
      <c r="A3" s="456" t="s">
        <v>26</v>
      </c>
      <c r="B3" s="457"/>
      <c r="C3" s="457"/>
      <c r="D3" s="457"/>
      <c r="E3" s="458"/>
    </row>
    <row r="4" spans="1:5" ht="18.75" customHeight="1">
      <c r="A4" s="63" t="s">
        <v>111</v>
      </c>
      <c r="B4" s="107" t="s">
        <v>110</v>
      </c>
      <c r="C4" s="477" t="str">
        <f>Vin_type</f>
        <v>AC</v>
      </c>
      <c r="D4" s="477"/>
      <c r="E4" s="476" t="s">
        <v>97</v>
      </c>
    </row>
    <row r="5" spans="1:5" ht="18.75" customHeight="1">
      <c r="A5" s="63" t="s">
        <v>117</v>
      </c>
      <c r="B5" s="107" t="s">
        <v>393</v>
      </c>
      <c r="C5" s="64">
        <f>'START HERE'!C17</f>
        <v>110</v>
      </c>
      <c r="D5" s="64" t="str">
        <f>IF(Vin_type="AC","VAC","VDC")</f>
        <v>VAC</v>
      </c>
      <c r="E5" s="476"/>
    </row>
    <row r="6" spans="1:5" ht="18.75" customHeight="1">
      <c r="A6" s="63" t="s">
        <v>116</v>
      </c>
      <c r="B6" s="107" t="s">
        <v>394</v>
      </c>
      <c r="C6" s="64">
        <f>'START HERE'!C18</f>
        <v>130</v>
      </c>
      <c r="D6" s="64" t="str">
        <f>IF(Vin_type="AC","VAC","VDC")</f>
        <v>VAC</v>
      </c>
      <c r="E6" s="476"/>
    </row>
    <row r="7" spans="1:5" ht="18.75" customHeight="1">
      <c r="A7" s="63" t="s">
        <v>119</v>
      </c>
      <c r="B7" s="107" t="s">
        <v>395</v>
      </c>
      <c r="C7" s="64">
        <f>'START HERE'!C19</f>
        <v>120</v>
      </c>
      <c r="D7" s="64" t="str">
        <f>IF(Vin_type="AC","VAC","VDC")</f>
        <v>VAC</v>
      </c>
      <c r="E7" s="476"/>
    </row>
    <row r="8" spans="1:5" ht="18.75" customHeight="1">
      <c r="A8" s="63" t="s">
        <v>120</v>
      </c>
      <c r="B8" s="107" t="s">
        <v>396</v>
      </c>
      <c r="C8" s="64">
        <f>'START HERE'!C20</f>
        <v>60</v>
      </c>
      <c r="D8" s="64" t="s">
        <v>53</v>
      </c>
      <c r="E8" s="476"/>
    </row>
    <row r="9" spans="1:5" ht="18.75" customHeight="1">
      <c r="A9" s="63" t="s">
        <v>121</v>
      </c>
      <c r="B9" s="107" t="s">
        <v>397</v>
      </c>
      <c r="C9" s="64">
        <f>'START HERE'!C21</f>
        <v>85</v>
      </c>
      <c r="D9" s="64" t="str">
        <f>IF(Vin_type="AC","VAC","VDC")</f>
        <v>VAC</v>
      </c>
      <c r="E9" s="476"/>
    </row>
    <row r="10" spans="1:5" ht="18.75" customHeight="1">
      <c r="A10" s="22" t="s">
        <v>122</v>
      </c>
      <c r="B10" s="27" t="s">
        <v>123</v>
      </c>
      <c r="C10" s="23">
        <f>IF(Vin_type="AC",Vinput_min*SQRT(2),Vinput_min)</f>
        <v>155.56349186104046</v>
      </c>
      <c r="D10" s="459" t="s">
        <v>10</v>
      </c>
      <c r="E10" s="460"/>
    </row>
    <row r="11" spans="1:5" ht="18.75" customHeight="1">
      <c r="A11" s="4" t="s">
        <v>124</v>
      </c>
      <c r="B11" s="28" t="s">
        <v>125</v>
      </c>
      <c r="C11" s="21">
        <f>IF(Vin_type="AC",Vinput_max*SQRT(2),Vinput_max)</f>
        <v>183.84776310850236</v>
      </c>
      <c r="D11" s="266" t="s">
        <v>10</v>
      </c>
      <c r="E11" s="248"/>
    </row>
    <row r="12" spans="1:5" ht="18.75" customHeight="1">
      <c r="A12" s="4" t="s">
        <v>126</v>
      </c>
      <c r="B12" s="28" t="s">
        <v>127</v>
      </c>
      <c r="C12" s="21">
        <f>IF(Vin_type="AC",Vinput_nom*SQRT(2),Vinput_nom)</f>
        <v>169.70562748477141</v>
      </c>
      <c r="D12" s="266" t="s">
        <v>10</v>
      </c>
      <c r="E12" s="248"/>
    </row>
    <row r="13" spans="1:5" ht="18.75" customHeight="1">
      <c r="A13" s="4" t="s">
        <v>129</v>
      </c>
      <c r="B13" s="28" t="s">
        <v>128</v>
      </c>
      <c r="C13" s="21">
        <f>IF(Vin_type="AC",Vinput_run*SQRT(2),Vinput_run)</f>
        <v>120.20815280171308</v>
      </c>
      <c r="D13" s="266" t="s">
        <v>10</v>
      </c>
      <c r="E13" s="248"/>
    </row>
    <row r="14" spans="1:5" ht="18.75" customHeight="1" thickBot="1">
      <c r="A14" s="5" t="s">
        <v>131</v>
      </c>
      <c r="B14" s="29" t="s">
        <v>130</v>
      </c>
      <c r="C14" s="201">
        <f>IF(Input_Voltage_type="AC",(1/fline_min)/ms,"n/a")</f>
        <v>16.666666666666668</v>
      </c>
      <c r="D14" s="338" t="s">
        <v>24</v>
      </c>
      <c r="E14" s="246"/>
    </row>
    <row r="15" spans="1:5" ht="18.75" customHeight="1">
      <c r="A15" s="456" t="s">
        <v>27</v>
      </c>
      <c r="B15" s="457"/>
      <c r="C15" s="457"/>
      <c r="D15" s="457"/>
      <c r="E15" s="458"/>
    </row>
    <row r="16" spans="1:5" ht="18.75" customHeight="1">
      <c r="A16" s="63" t="s">
        <v>132</v>
      </c>
      <c r="B16" s="107" t="s">
        <v>398</v>
      </c>
      <c r="C16" s="64">
        <f>'START HERE'!C24</f>
        <v>5</v>
      </c>
      <c r="D16" s="64" t="s">
        <v>10</v>
      </c>
      <c r="E16" s="430" t="s">
        <v>97</v>
      </c>
    </row>
    <row r="17" spans="1:5" ht="18.75" customHeight="1">
      <c r="A17" s="63" t="s">
        <v>723</v>
      </c>
      <c r="B17" s="190" t="s">
        <v>722</v>
      </c>
      <c r="C17" s="64">
        <f>'START HERE'!C25</f>
        <v>1</v>
      </c>
      <c r="D17" s="64" t="s">
        <v>12</v>
      </c>
      <c r="E17" s="431"/>
    </row>
    <row r="18" spans="1:5" ht="18.75" customHeight="1">
      <c r="A18" s="63" t="s">
        <v>724</v>
      </c>
      <c r="B18" s="107" t="s">
        <v>399</v>
      </c>
      <c r="C18" s="64">
        <f>'START HERE'!C26</f>
        <v>1.1000000000000001</v>
      </c>
      <c r="D18" s="64" t="s">
        <v>12</v>
      </c>
      <c r="E18" s="431"/>
    </row>
    <row r="19" spans="1:5" ht="18.75" customHeight="1">
      <c r="A19" s="461" t="s">
        <v>133</v>
      </c>
      <c r="B19" s="464" t="s">
        <v>400</v>
      </c>
      <c r="C19" s="462">
        <f>'START HERE'!C27</f>
        <v>4.95</v>
      </c>
      <c r="D19" s="463" t="s">
        <v>10</v>
      </c>
      <c r="E19" s="431"/>
    </row>
    <row r="20" spans="1:5" ht="18.75" customHeight="1">
      <c r="A20" s="461"/>
      <c r="B20" s="465"/>
      <c r="C20" s="462"/>
      <c r="D20" s="463"/>
      <c r="E20" s="431"/>
    </row>
    <row r="21" spans="1:5" ht="18.75" customHeight="1">
      <c r="A21" s="461" t="s">
        <v>139</v>
      </c>
      <c r="B21" s="464" t="s">
        <v>401</v>
      </c>
      <c r="C21" s="462">
        <f>'START HERE'!C28</f>
        <v>0.05</v>
      </c>
      <c r="D21" s="463" t="s">
        <v>10</v>
      </c>
      <c r="E21" s="431"/>
    </row>
    <row r="22" spans="1:5" ht="18.75" customHeight="1">
      <c r="A22" s="461"/>
      <c r="B22" s="465"/>
      <c r="C22" s="462"/>
      <c r="D22" s="463"/>
      <c r="E22" s="431"/>
    </row>
    <row r="23" spans="1:5" ht="18.75" customHeight="1">
      <c r="A23" s="63" t="s">
        <v>138</v>
      </c>
      <c r="B23" s="107" t="s">
        <v>402</v>
      </c>
      <c r="C23" s="64">
        <f>'START HERE'!C29</f>
        <v>80</v>
      </c>
      <c r="D23" s="64" t="s">
        <v>14</v>
      </c>
      <c r="E23" s="431"/>
    </row>
    <row r="24" spans="1:5" ht="18.75" customHeight="1">
      <c r="A24" s="64" t="s">
        <v>315</v>
      </c>
      <c r="B24" s="107" t="s">
        <v>403</v>
      </c>
      <c r="C24" s="64">
        <f>'START HERE'!C32</f>
        <v>0.5</v>
      </c>
      <c r="D24" s="64" t="s">
        <v>12</v>
      </c>
      <c r="E24" s="431"/>
    </row>
    <row r="25" spans="1:5" ht="18.75" customHeight="1">
      <c r="A25" s="466" t="s">
        <v>317</v>
      </c>
      <c r="B25" s="468" t="s">
        <v>404</v>
      </c>
      <c r="C25" s="470">
        <f>'START HERE'!C33</f>
        <v>20</v>
      </c>
      <c r="D25" s="472" t="s">
        <v>24</v>
      </c>
      <c r="E25" s="431"/>
    </row>
    <row r="26" spans="1:5" ht="18.75" customHeight="1">
      <c r="A26" s="467"/>
      <c r="B26" s="469"/>
      <c r="C26" s="471"/>
      <c r="D26" s="473"/>
      <c r="E26" s="431"/>
    </row>
    <row r="27" spans="1:5" ht="18.75" customHeight="1">
      <c r="A27" s="104" t="s">
        <v>378</v>
      </c>
      <c r="B27" s="65" t="s">
        <v>405</v>
      </c>
      <c r="C27" s="105">
        <f>'START HERE'!C31</f>
        <v>5.25</v>
      </c>
      <c r="D27" s="106" t="s">
        <v>10</v>
      </c>
      <c r="E27" s="431"/>
    </row>
    <row r="28" spans="1:5" ht="18.75" customHeight="1">
      <c r="A28" s="104" t="s">
        <v>446</v>
      </c>
      <c r="B28" s="65" t="s">
        <v>447</v>
      </c>
      <c r="C28" s="105">
        <f>'START HERE'!C34</f>
        <v>20</v>
      </c>
      <c r="D28" s="106" t="s">
        <v>113</v>
      </c>
      <c r="E28" s="432"/>
    </row>
    <row r="29" spans="1:5" ht="18.75" customHeight="1">
      <c r="A29" s="22" t="s">
        <v>137</v>
      </c>
      <c r="B29" s="27" t="s">
        <v>134</v>
      </c>
      <c r="C29" s="23">
        <f>IF(Vout_cv&lt;12,0.8,0.85)</f>
        <v>0.8</v>
      </c>
      <c r="D29" s="459"/>
      <c r="E29" s="460"/>
    </row>
    <row r="30" spans="1:5" ht="18.75" customHeight="1">
      <c r="A30" s="4" t="s">
        <v>136</v>
      </c>
      <c r="B30" s="28" t="s">
        <v>140</v>
      </c>
      <c r="C30" s="21">
        <f>(Vout_cv)*Iocc_target</f>
        <v>5.5</v>
      </c>
      <c r="D30" s="266" t="s">
        <v>13</v>
      </c>
      <c r="E30" s="248"/>
    </row>
    <row r="31" spans="1:5" ht="18.75" customHeight="1" thickBot="1">
      <c r="A31" s="5" t="s">
        <v>135</v>
      </c>
      <c r="B31" s="29" t="s">
        <v>141</v>
      </c>
      <c r="C31" s="26">
        <f>Pout/efficiency</f>
        <v>6.875</v>
      </c>
      <c r="D31" s="338" t="s">
        <v>13</v>
      </c>
      <c r="E31" s="246"/>
    </row>
    <row r="32" spans="1:5" ht="18.75" customHeight="1">
      <c r="A32" s="482"/>
      <c r="B32" s="482"/>
      <c r="C32" s="482"/>
      <c r="D32" s="482"/>
      <c r="E32" s="482"/>
    </row>
    <row r="33" spans="1:5" ht="18.75" customHeight="1">
      <c r="A33" s="445" t="s">
        <v>115</v>
      </c>
      <c r="B33" s="445"/>
      <c r="C33" s="445"/>
      <c r="D33" s="445"/>
      <c r="E33" s="445"/>
    </row>
    <row r="34" spans="1:5" ht="18.75" customHeight="1" thickBot="1">
      <c r="A34" s="479"/>
      <c r="B34" s="479"/>
      <c r="C34" s="479"/>
      <c r="D34" s="479"/>
      <c r="E34" s="479"/>
    </row>
    <row r="35" spans="1:5" ht="18.75" customHeight="1">
      <c r="A35" s="388" t="s">
        <v>88</v>
      </c>
      <c r="B35" s="478"/>
      <c r="C35" s="389"/>
      <c r="D35" s="389"/>
      <c r="E35" s="390"/>
    </row>
    <row r="36" spans="1:5" ht="18.75" customHeight="1">
      <c r="A36" s="34" t="s">
        <v>142</v>
      </c>
      <c r="B36" s="39" t="s">
        <v>143</v>
      </c>
      <c r="C36" s="40">
        <f>IF(Input_Voltage_type="AC",(((2*Pin)*(0.25+(((1/(2*PI()))*ASIN(Vbulkvalley_desired/Vbulk_min)))))/(((Vbulk_min^2)-(Vbulkvalley_desired^2))*fline_min))*10^6,0.5*Pout)</f>
        <v>5.827913998898107</v>
      </c>
      <c r="D36" s="337" t="s">
        <v>23</v>
      </c>
      <c r="E36" s="273"/>
    </row>
    <row r="37" spans="1:5" ht="18.75" customHeight="1">
      <c r="A37" s="25" t="s">
        <v>144</v>
      </c>
      <c r="B37" s="41" t="s">
        <v>145</v>
      </c>
      <c r="C37" s="33">
        <f>IF('START HERE'!C41="","",'START HERE'!C41)</f>
        <v>9.4</v>
      </c>
      <c r="D37" s="87" t="s">
        <v>23</v>
      </c>
      <c r="E37" s="42" t="s">
        <v>98</v>
      </c>
    </row>
    <row r="38" spans="1:5" ht="18.75" customHeight="1">
      <c r="A38" s="22" t="s">
        <v>146</v>
      </c>
      <c r="B38" s="27" t="s">
        <v>147</v>
      </c>
      <c r="C38" s="23">
        <f>IF(Cbulk_actual="",Cbulk_rcmd,Cbulk_actual)</f>
        <v>9.4</v>
      </c>
      <c r="D38" s="459" t="s">
        <v>23</v>
      </c>
      <c r="E38" s="460"/>
    </row>
    <row r="39" spans="1:5" ht="18.75" customHeight="1">
      <c r="A39" s="4" t="s">
        <v>148</v>
      </c>
      <c r="B39" s="28" t="s">
        <v>149</v>
      </c>
      <c r="C39" s="21">
        <f>IF(C4="AC",Vbulkvalley,Vinput_run)</f>
        <v>121.00841395752977</v>
      </c>
      <c r="D39" s="266" t="s">
        <v>10</v>
      </c>
      <c r="E39" s="248"/>
    </row>
    <row r="40" spans="1:5" ht="18.75" customHeight="1">
      <c r="A40" s="4" t="s">
        <v>150</v>
      </c>
      <c r="B40" s="28" t="s">
        <v>151</v>
      </c>
      <c r="C40" s="21">
        <f>IF(Input_Voltage_type="AC",(((Cbulk*uF)*(Vbulk_min-Vbulk_valley)/tcharge_3)/SQRT(3))/mA,(2*Pin)/(Vinput_run))</f>
        <v>104.19428610120183</v>
      </c>
      <c r="D40" s="266" t="s">
        <v>36</v>
      </c>
      <c r="E40" s="248"/>
    </row>
    <row r="41" spans="1:5" ht="18.75" customHeight="1" thickBot="1">
      <c r="A41" s="5" t="s">
        <v>152</v>
      </c>
      <c r="B41" s="29" t="s">
        <v>153</v>
      </c>
      <c r="C41" s="14">
        <f>MROUND(Vbulk_max,100)</f>
        <v>200</v>
      </c>
      <c r="D41" s="338" t="s">
        <v>10</v>
      </c>
      <c r="E41" s="246"/>
    </row>
    <row r="42" spans="1:5" ht="18.75" customHeight="1" thickBot="1">
      <c r="A42" s="480"/>
      <c r="B42" s="480"/>
      <c r="C42" s="480"/>
      <c r="D42" s="480"/>
      <c r="E42" s="480"/>
    </row>
    <row r="43" spans="1:5" ht="18.75" customHeight="1">
      <c r="A43" s="388" t="s">
        <v>219</v>
      </c>
      <c r="B43" s="478"/>
      <c r="C43" s="389"/>
      <c r="D43" s="389"/>
      <c r="E43" s="390"/>
    </row>
    <row r="44" spans="1:5" ht="18.75" customHeight="1">
      <c r="A44" s="43" t="s">
        <v>250</v>
      </c>
      <c r="B44" s="44" t="s">
        <v>299</v>
      </c>
      <c r="C44" s="45">
        <f>Vinput_max</f>
        <v>130</v>
      </c>
      <c r="D44" s="348" t="str">
        <f>IF(Vin_type="AC","VAC","VDC")</f>
        <v>VAC</v>
      </c>
      <c r="E44" s="286"/>
    </row>
    <row r="45" spans="1:5" ht="18.75" customHeight="1" thickBot="1">
      <c r="A45" s="5" t="s">
        <v>220</v>
      </c>
      <c r="B45" s="24" t="s">
        <v>221</v>
      </c>
      <c r="C45" s="26">
        <f>IF(Input_Voltage_type="AC",(2*Pin/Vbulk_valley)/SQRT(tcharge_3/(t_line*ms)),(2*Pin)/(Vinput_run*(1-Ddemag_cc)))</f>
        <v>0.34577525049069741</v>
      </c>
      <c r="D45" s="327" t="s">
        <v>12</v>
      </c>
      <c r="E45" s="329"/>
    </row>
    <row r="46" spans="1:5" ht="18.75" customHeight="1" thickBot="1">
      <c r="A46" s="15"/>
      <c r="B46" s="35"/>
      <c r="C46" s="36"/>
      <c r="D46" s="38"/>
      <c r="E46" s="38"/>
    </row>
    <row r="47" spans="1:5" ht="18.75" customHeight="1">
      <c r="A47" s="388" t="s">
        <v>249</v>
      </c>
      <c r="B47" s="389"/>
      <c r="C47" s="389"/>
      <c r="D47" s="389"/>
      <c r="E47" s="390"/>
    </row>
    <row r="48" spans="1:5" ht="18.75" customHeight="1">
      <c r="A48" s="4" t="s">
        <v>250</v>
      </c>
      <c r="B48" s="94" t="s">
        <v>251</v>
      </c>
      <c r="C48" s="198">
        <f>IF(Input_Voltage_type="AC",MROUND(Vbulk_max,100),Vinput_max)</f>
        <v>200</v>
      </c>
      <c r="D48" s="313" t="s">
        <v>10</v>
      </c>
      <c r="E48" s="256"/>
    </row>
    <row r="49" spans="1:10" ht="18.75" customHeight="1">
      <c r="A49" s="4" t="s">
        <v>252</v>
      </c>
      <c r="B49" s="94" t="s">
        <v>253</v>
      </c>
      <c r="C49" s="198">
        <f>IF(Input_Voltage_type="AC",2*Pin/Vbulk_valley,2*Pin/Vinput_run)</f>
        <v>0.11362846227226668</v>
      </c>
      <c r="D49" s="313" t="s">
        <v>12</v>
      </c>
      <c r="E49" s="279"/>
    </row>
    <row r="50" spans="1:10" ht="18.75" customHeight="1">
      <c r="A50" s="25" t="s">
        <v>255</v>
      </c>
      <c r="B50" s="92" t="s">
        <v>261</v>
      </c>
      <c r="C50" s="33">
        <f>IF('START HERE'!C73="",1,'START HERE'!C73)</f>
        <v>1</v>
      </c>
      <c r="D50" s="93" t="s">
        <v>10</v>
      </c>
      <c r="E50" s="42" t="s">
        <v>98</v>
      </c>
    </row>
    <row r="51" spans="1:10" ht="18.75" customHeight="1" thickBot="1">
      <c r="A51" s="5" t="s">
        <v>262</v>
      </c>
      <c r="B51" s="24" t="s">
        <v>254</v>
      </c>
      <c r="C51" s="26">
        <f>2*Vf_bridge*Icin*mA/mW</f>
        <v>208.38857220240365</v>
      </c>
      <c r="D51" s="327" t="s">
        <v>113</v>
      </c>
      <c r="E51" s="481"/>
    </row>
    <row r="52" spans="1:10" ht="18.75" customHeight="1" thickBot="1"/>
    <row r="53" spans="1:10" ht="18.75" customHeight="1">
      <c r="A53" s="435" t="s">
        <v>741</v>
      </c>
      <c r="B53" s="436"/>
      <c r="C53" s="436"/>
      <c r="D53" s="436"/>
      <c r="E53" s="437"/>
    </row>
    <row r="54" spans="1:10" ht="18.75" customHeight="1">
      <c r="A54" s="4" t="s">
        <v>156</v>
      </c>
      <c r="B54" s="204" t="s">
        <v>157</v>
      </c>
      <c r="C54" s="206">
        <v>0.42499999999999999</v>
      </c>
      <c r="D54" s="345" t="s">
        <v>373</v>
      </c>
      <c r="E54" s="446"/>
    </row>
    <row r="55" spans="1:10" ht="18.75" customHeight="1">
      <c r="A55" s="4" t="s">
        <v>158</v>
      </c>
      <c r="B55" s="204" t="s">
        <v>159</v>
      </c>
      <c r="C55" s="206">
        <v>4</v>
      </c>
      <c r="D55" s="345" t="s">
        <v>373</v>
      </c>
      <c r="E55" s="446"/>
    </row>
    <row r="56" spans="1:10" ht="18.75" customHeight="1">
      <c r="A56" s="16" t="s">
        <v>160</v>
      </c>
      <c r="B56" s="30" t="s">
        <v>161</v>
      </c>
      <c r="C56" s="17">
        <f>'START HERE'!C30</f>
        <v>100</v>
      </c>
      <c r="D56" s="87" t="s">
        <v>15</v>
      </c>
      <c r="E56" s="61" t="s">
        <v>98</v>
      </c>
    </row>
    <row r="57" spans="1:10" ht="18.75" customHeight="1">
      <c r="A57" s="4" t="s">
        <v>162</v>
      </c>
      <c r="B57" s="204" t="s">
        <v>163</v>
      </c>
      <c r="C57" s="20">
        <f>(1/(fmax_target*kHz))/us</f>
        <v>10.000000000000002</v>
      </c>
      <c r="D57" s="313" t="s">
        <v>37</v>
      </c>
      <c r="E57" s="256"/>
    </row>
    <row r="58" spans="1:10" ht="18" customHeight="1">
      <c r="A58" s="4" t="s">
        <v>164</v>
      </c>
      <c r="B58" s="204" t="s">
        <v>165</v>
      </c>
      <c r="C58" s="21">
        <v>0.5</v>
      </c>
      <c r="D58" s="182" t="s">
        <v>263</v>
      </c>
      <c r="E58" s="228"/>
    </row>
    <row r="59" spans="1:10" ht="18.75" customHeight="1">
      <c r="A59" s="4" t="s">
        <v>166</v>
      </c>
      <c r="B59" s="204" t="s">
        <v>167</v>
      </c>
      <c r="C59" s="21">
        <f>1/(2*fres*MHz)/us</f>
        <v>1</v>
      </c>
      <c r="D59" s="313" t="s">
        <v>37</v>
      </c>
      <c r="E59" s="256"/>
    </row>
    <row r="60" spans="1:10" ht="18.75" customHeight="1">
      <c r="A60" s="4" t="s">
        <v>168</v>
      </c>
      <c r="B60" s="204" t="s">
        <v>169</v>
      </c>
      <c r="C60" s="21">
        <f>(1-((tres*us)*(fmax_target*kHz))-Ddemag_cc)</f>
        <v>0.47500000000000003</v>
      </c>
      <c r="D60" s="313"/>
      <c r="E60" s="256"/>
    </row>
    <row r="61" spans="1:10" ht="18.75" customHeight="1">
      <c r="A61" s="7" t="s">
        <v>706</v>
      </c>
      <c r="B61" s="31" t="s">
        <v>707</v>
      </c>
      <c r="C61" s="185">
        <f>(Dmax_target*Vbulk_valley)/(Ddemag_cc*(Vout_cv+Vf+(DCR_Lout*mOhms*Iocc_target)))</f>
        <v>25.185232393395399</v>
      </c>
      <c r="D61" s="420" t="s">
        <v>223</v>
      </c>
      <c r="E61" s="421"/>
      <c r="F61" s="112"/>
      <c r="G61" s="112"/>
      <c r="H61" s="112"/>
      <c r="I61" s="112"/>
      <c r="J61" s="112"/>
    </row>
    <row r="62" spans="1:10" ht="18.75" customHeight="1">
      <c r="A62" s="16" t="s">
        <v>170</v>
      </c>
      <c r="B62" s="30" t="s">
        <v>175</v>
      </c>
      <c r="C62" s="213">
        <f>IF('START HERE'!C49="","",'START HERE'!C49)</f>
        <v>21.9</v>
      </c>
      <c r="D62" s="87"/>
      <c r="E62" s="42" t="s">
        <v>98</v>
      </c>
      <c r="F62" s="112"/>
      <c r="G62" s="112"/>
      <c r="H62" s="112"/>
      <c r="I62" s="112"/>
      <c r="J62" s="112"/>
    </row>
    <row r="63" spans="1:10" ht="18.75" customHeight="1">
      <c r="A63" s="7" t="s">
        <v>154</v>
      </c>
      <c r="B63" s="31" t="s">
        <v>155</v>
      </c>
      <c r="C63" s="21">
        <f>IF(Nps_actual="",Nps_ideal,Nps_actual)</f>
        <v>21.9</v>
      </c>
      <c r="D63" s="454"/>
      <c r="E63" s="455"/>
    </row>
    <row r="64" spans="1:10" ht="18.75" customHeight="1">
      <c r="A64" s="4" t="s">
        <v>176</v>
      </c>
      <c r="B64" s="204" t="s">
        <v>177</v>
      </c>
      <c r="C64" s="21">
        <f>Nps*(Vout_cv+Vf+((DCR_Lout*mOhms*Iocc_target)))</f>
        <v>117.60299999999999</v>
      </c>
      <c r="D64" s="313" t="s">
        <v>10</v>
      </c>
      <c r="E64" s="256"/>
    </row>
    <row r="65" spans="1:6" ht="18.75" customHeight="1">
      <c r="A65" s="4" t="s">
        <v>178</v>
      </c>
      <c r="B65" s="204" t="s">
        <v>179</v>
      </c>
      <c r="C65" s="21">
        <f>Vds-Vbulk_max-(Nps*(Vout_cv+Vf+((DCR_Lout*mOhms)*Iocc_target)))</f>
        <v>398.54923689149763</v>
      </c>
      <c r="D65" s="313" t="s">
        <v>10</v>
      </c>
      <c r="E65" s="256"/>
    </row>
    <row r="66" spans="1:6" ht="18.75" customHeight="1">
      <c r="A66" s="4" t="s">
        <v>180</v>
      </c>
      <c r="B66" s="204" t="s">
        <v>181</v>
      </c>
      <c r="C66" s="21">
        <f>(((Vout_cv+Vf+(DCR_Lout*mOhms*Iocc_target))*Nps*((1/(fmax_target*kHz))-(tres*us)))/(Vbulk_valley+((Vout_cv+Vf+(DCR_Lout*mOhms*Iocc_target))*Nps)))/us</f>
        <v>4.4357769079243985</v>
      </c>
      <c r="D66" s="313" t="s">
        <v>37</v>
      </c>
      <c r="E66" s="256"/>
    </row>
    <row r="67" spans="1:6" ht="18.75" customHeight="1" thickBot="1">
      <c r="A67" s="5" t="s">
        <v>715</v>
      </c>
      <c r="B67" s="24" t="s">
        <v>182</v>
      </c>
      <c r="C67" s="14">
        <v>0.9</v>
      </c>
      <c r="D67" s="327"/>
      <c r="E67" s="329"/>
    </row>
    <row r="68" spans="1:6" ht="18.75" customHeight="1" thickBot="1">
      <c r="F68"/>
    </row>
    <row r="69" spans="1:6" ht="18.75" customHeight="1">
      <c r="A69" s="435" t="s">
        <v>740</v>
      </c>
      <c r="B69" s="436"/>
      <c r="C69" s="436"/>
      <c r="D69" s="436"/>
      <c r="E69" s="437"/>
    </row>
    <row r="70" spans="1:6" ht="18.75" customHeight="1">
      <c r="A70" s="54" t="s">
        <v>231</v>
      </c>
      <c r="B70" s="208" t="s">
        <v>233</v>
      </c>
      <c r="C70" s="37">
        <v>318</v>
      </c>
      <c r="D70" s="210" t="s">
        <v>14</v>
      </c>
      <c r="E70" s="211" t="s">
        <v>373</v>
      </c>
    </row>
    <row r="71" spans="1:6" ht="18.75" customHeight="1">
      <c r="A71" s="54" t="s">
        <v>232</v>
      </c>
      <c r="B71" s="208" t="s">
        <v>234</v>
      </c>
      <c r="C71" s="37">
        <v>330</v>
      </c>
      <c r="D71" s="60" t="s">
        <v>14</v>
      </c>
      <c r="E71" s="212" t="s">
        <v>373</v>
      </c>
    </row>
    <row r="72" spans="1:6" ht="18.75" customHeight="1">
      <c r="A72" s="54" t="s">
        <v>231</v>
      </c>
      <c r="B72" s="208" t="s">
        <v>233</v>
      </c>
      <c r="C72" s="37">
        <v>343</v>
      </c>
      <c r="D72" s="60" t="s">
        <v>14</v>
      </c>
      <c r="E72" s="212" t="s">
        <v>373</v>
      </c>
    </row>
    <row r="73" spans="1:6" ht="18.75" customHeight="1">
      <c r="A73" s="54" t="s">
        <v>734</v>
      </c>
      <c r="B73" s="208" t="s">
        <v>735</v>
      </c>
      <c r="C73" s="225">
        <f>2*(Vout_cv+Vf+(DCR_Lout*mOhms*Iocc_target))*Iocc_target/(eff_xfmr*((2*Iocc_target)/(Nps*Ddemag_cc))^2*fmax_target*kHz)/uH</f>
        <v>2349.4985710227265</v>
      </c>
      <c r="D73" s="182" t="s">
        <v>50</v>
      </c>
      <c r="E73" s="212"/>
    </row>
    <row r="74" spans="1:6" ht="18.75" customHeight="1">
      <c r="A74" s="4" t="s">
        <v>201</v>
      </c>
      <c r="B74" s="204" t="s">
        <v>202</v>
      </c>
      <c r="C74" s="21">
        <f>(Vccr_nom*mV)/(((2*Iocc_target)/(Nps*SQRT(eff_xfmr)))+(((Vbulk_valley*tdelay*ns)/(Lp_est*uH))*Ddemag_cc))</f>
        <v>3.0508366479473916</v>
      </c>
      <c r="D74" s="313" t="s">
        <v>48</v>
      </c>
      <c r="E74" s="256"/>
    </row>
    <row r="75" spans="1:6" ht="18.75" customHeight="1">
      <c r="A75" s="25" t="s">
        <v>203</v>
      </c>
      <c r="B75" s="207" t="s">
        <v>204</v>
      </c>
      <c r="C75" s="33">
        <f>IF('START HERE'!C52="","",'START HERE'!C52)</f>
        <v>3.0510000000000002</v>
      </c>
      <c r="D75" s="87" t="s">
        <v>48</v>
      </c>
      <c r="E75" s="42" t="s">
        <v>98</v>
      </c>
    </row>
    <row r="76" spans="1:6" ht="18.75" customHeight="1">
      <c r="A76" s="4" t="s">
        <v>205</v>
      </c>
      <c r="B76" s="204" t="s">
        <v>326</v>
      </c>
      <c r="C76" s="21">
        <f>IF(Rcs_actual="",Rcs_rcmd,Rcs_actual)</f>
        <v>3.0510000000000002</v>
      </c>
      <c r="D76" s="313" t="s">
        <v>48</v>
      </c>
      <c r="E76" s="256"/>
    </row>
    <row r="77" spans="1:6" ht="18.75" customHeight="1">
      <c r="A77" s="4" t="s">
        <v>206</v>
      </c>
      <c r="B77" s="204" t="s">
        <v>207</v>
      </c>
      <c r="C77" s="21">
        <f>(Ipri_RMS^2)*Rcs/mW</f>
        <v>26.964184328317003</v>
      </c>
      <c r="D77" s="433" t="s">
        <v>113</v>
      </c>
      <c r="E77" s="434"/>
    </row>
    <row r="78" spans="1:6" ht="18.75" customHeight="1">
      <c r="A78" s="4" t="s">
        <v>224</v>
      </c>
      <c r="B78" s="204" t="s">
        <v>225</v>
      </c>
      <c r="C78" s="206">
        <v>738</v>
      </c>
      <c r="D78" s="182" t="s">
        <v>14</v>
      </c>
      <c r="E78" s="183" t="s">
        <v>373</v>
      </c>
    </row>
    <row r="79" spans="1:6" ht="18.75" customHeight="1">
      <c r="A79" s="4" t="s">
        <v>186</v>
      </c>
      <c r="B79" s="204" t="s">
        <v>187</v>
      </c>
      <c r="C79" s="206">
        <v>773</v>
      </c>
      <c r="D79" s="182" t="s">
        <v>14</v>
      </c>
      <c r="E79" s="183" t="s">
        <v>373</v>
      </c>
    </row>
    <row r="80" spans="1:6" ht="18.75" customHeight="1">
      <c r="A80" s="4" t="s">
        <v>188</v>
      </c>
      <c r="B80" s="204" t="s">
        <v>189</v>
      </c>
      <c r="C80" s="206">
        <v>810</v>
      </c>
      <c r="D80" s="182" t="s">
        <v>14</v>
      </c>
      <c r="E80" s="183" t="s">
        <v>373</v>
      </c>
    </row>
    <row r="81" spans="1:10" ht="18.75" customHeight="1">
      <c r="A81" s="4" t="s">
        <v>736</v>
      </c>
      <c r="B81" s="204" t="s">
        <v>737</v>
      </c>
      <c r="C81" s="21">
        <f>Vcstmax_min*mV/Rcs</f>
        <v>0.24188790560471976</v>
      </c>
      <c r="D81" s="313" t="s">
        <v>12</v>
      </c>
      <c r="E81" s="256"/>
    </row>
    <row r="82" spans="1:10" ht="18.75" customHeight="1">
      <c r="A82" s="77" t="s">
        <v>226</v>
      </c>
      <c r="B82" s="78" t="s">
        <v>498</v>
      </c>
      <c r="C82" s="79">
        <f>Vcstmax_nom*mV/Rcs</f>
        <v>0.25335955424451001</v>
      </c>
      <c r="D82" s="440" t="s">
        <v>12</v>
      </c>
      <c r="E82" s="441"/>
    </row>
    <row r="83" spans="1:10" ht="18.75" customHeight="1">
      <c r="A83" s="4" t="s">
        <v>738</v>
      </c>
      <c r="B83" s="204" t="s">
        <v>739</v>
      </c>
      <c r="C83" s="21">
        <f>Vcstmax_max*mV/Rcs</f>
        <v>0.26548672566371684</v>
      </c>
      <c r="D83" s="313" t="s">
        <v>12</v>
      </c>
      <c r="E83" s="256"/>
    </row>
    <row r="84" spans="1:10" ht="18.75" customHeight="1">
      <c r="A84" s="77" t="s">
        <v>286</v>
      </c>
      <c r="B84" s="78" t="s">
        <v>497</v>
      </c>
      <c r="C84" s="79">
        <f>Ipp_nom*Nps*Ddemag_cc/2</f>
        <v>1.1790720255653884</v>
      </c>
      <c r="D84" s="205" t="s">
        <v>12</v>
      </c>
      <c r="E84" s="209"/>
      <c r="H84" s="112"/>
      <c r="I84" s="112"/>
      <c r="J84" s="112"/>
    </row>
    <row r="85" spans="1:10" ht="18.75" customHeight="1">
      <c r="A85" s="4" t="s">
        <v>174</v>
      </c>
      <c r="B85" s="204" t="s">
        <v>183</v>
      </c>
      <c r="C85" s="21">
        <f>Ipp_nom/Kam_nom</f>
        <v>6.3339888561127503E-2</v>
      </c>
      <c r="D85" s="313" t="s">
        <v>12</v>
      </c>
      <c r="E85" s="256"/>
      <c r="H85" s="112"/>
      <c r="I85" s="112"/>
      <c r="J85" s="112"/>
    </row>
    <row r="86" spans="1:10" ht="18.75" customHeight="1">
      <c r="A86" s="442" t="s">
        <v>184</v>
      </c>
      <c r="B86" s="345" t="s">
        <v>185</v>
      </c>
      <c r="C86" s="392">
        <f>(Vcstmax_max*mV)/(0.99*Rcs)</f>
        <v>0.26816840976133011</v>
      </c>
      <c r="D86" s="313" t="s">
        <v>12</v>
      </c>
      <c r="E86" s="277" t="s">
        <v>265</v>
      </c>
      <c r="H86" s="112"/>
      <c r="I86" s="112"/>
      <c r="J86" s="112"/>
    </row>
    <row r="87" spans="1:10" ht="18.75" customHeight="1">
      <c r="A87" s="442"/>
      <c r="B87" s="345"/>
      <c r="C87" s="392"/>
      <c r="D87" s="313"/>
      <c r="E87" s="277"/>
      <c r="H87" s="112"/>
      <c r="I87" s="112"/>
      <c r="J87" s="112"/>
    </row>
    <row r="88" spans="1:10" ht="18.75" customHeight="1" thickBot="1">
      <c r="A88" s="5" t="s">
        <v>266</v>
      </c>
      <c r="B88" s="24" t="s">
        <v>267</v>
      </c>
      <c r="C88" s="26">
        <f>Ipp_wc*Nps*Ddemag_cc/2</f>
        <v>1.2479887369267899</v>
      </c>
      <c r="D88" s="6" t="s">
        <v>12</v>
      </c>
      <c r="E88" s="203" t="s">
        <v>716</v>
      </c>
      <c r="H88" s="112"/>
      <c r="I88" s="112"/>
      <c r="J88" s="112"/>
    </row>
    <row r="89" spans="1:10" ht="18.75" customHeight="1" thickBot="1">
      <c r="A89" s="112"/>
      <c r="B89" s="112"/>
      <c r="C89" s="112"/>
      <c r="D89" s="112"/>
      <c r="E89" s="112"/>
      <c r="F89" s="112"/>
      <c r="H89" s="112"/>
      <c r="I89" s="112"/>
      <c r="J89" s="112"/>
    </row>
    <row r="90" spans="1:10" ht="18.75" customHeight="1">
      <c r="A90" s="435" t="s">
        <v>742</v>
      </c>
      <c r="B90" s="436"/>
      <c r="C90" s="436"/>
      <c r="D90" s="436"/>
      <c r="E90" s="437"/>
      <c r="H90" s="112"/>
      <c r="I90" s="112"/>
      <c r="J90" s="112"/>
    </row>
    <row r="91" spans="1:10" ht="18.75" customHeight="1">
      <c r="A91" s="229" t="s">
        <v>751</v>
      </c>
      <c r="B91" s="227" t="s">
        <v>744</v>
      </c>
      <c r="C91" s="21">
        <f>((2*(Vout_cv+Vf+(DCR_Lout*mOhms*Iocc))*Iocc/(eff_xfmr*Ipp_nom^2*fmax_target*kHz))/uH)</f>
        <v>2191.9343111254852</v>
      </c>
      <c r="D91" s="313" t="s">
        <v>50</v>
      </c>
      <c r="E91" s="256"/>
      <c r="H91" s="112"/>
      <c r="I91" s="112"/>
      <c r="J91" s="112"/>
    </row>
    <row r="92" spans="1:10" ht="18.75" customHeight="1">
      <c r="A92" s="4" t="s">
        <v>753</v>
      </c>
      <c r="B92" s="177" t="s">
        <v>190</v>
      </c>
      <c r="C92" s="21">
        <f>IF(((((2*(Vout_cv+Vf+(DCR_Lout*mOhms*Iocc))*Iocc/(eff_xfmr*Ipp_nom^2*fmax_target*kHz))/uH)*uH*Ipp_nom)/(Vbulk_max*Kam_nom))/ns&lt;tonmin_limit,(tonmin_limit*1.01*Vbulk_max*Kam_nom/Ipp_nom*ns),(2*(Vout_cv+Vf+(DCR_Lout*mOhms*Iocc))*Iocc/(eff_xfmr*Ipp_nom^2*fmax_target*kHz)))/uH</f>
        <v>2191.9343111254852</v>
      </c>
      <c r="D92" s="182" t="s">
        <v>50</v>
      </c>
      <c r="E92" s="183" t="s">
        <v>222</v>
      </c>
      <c r="H92" s="112"/>
      <c r="I92" s="112"/>
      <c r="J92" s="112"/>
    </row>
    <row r="93" spans="1:10" ht="18.75" customHeight="1">
      <c r="A93" s="16" t="s">
        <v>191</v>
      </c>
      <c r="B93" s="30" t="s">
        <v>192</v>
      </c>
      <c r="C93" s="17">
        <f>IF('START HERE'!C55="","",'START HERE'!C55)</f>
        <v>4000</v>
      </c>
      <c r="D93" s="87" t="s">
        <v>50</v>
      </c>
      <c r="E93" s="61" t="s">
        <v>98</v>
      </c>
    </row>
    <row r="94" spans="1:10" ht="18.75" customHeight="1">
      <c r="A94" s="4" t="s">
        <v>193</v>
      </c>
      <c r="B94" s="177" t="s">
        <v>194</v>
      </c>
      <c r="C94" s="21">
        <f>IF(Lp_actual="",Lp_rcmd,Lp_actual)</f>
        <v>4000</v>
      </c>
      <c r="D94" s="313" t="s">
        <v>50</v>
      </c>
      <c r="E94" s="256"/>
    </row>
    <row r="95" spans="1:10" ht="18.75" customHeight="1">
      <c r="A95" s="77" t="s">
        <v>195</v>
      </c>
      <c r="B95" s="78" t="s">
        <v>624</v>
      </c>
      <c r="C95" s="79">
        <f>(Nps*Ddemag_cc*(Vout_cv+Vf+(DCR_Lout*mOhms*Iocc))/(Lp*uH*Ipp_nom)/kHz)</f>
        <v>49.318522000323405</v>
      </c>
      <c r="D95" s="196" t="s">
        <v>15</v>
      </c>
      <c r="E95" s="231" t="str">
        <f>IF(fmax&gt;100,"Design exceeds capability of part",IF(fmax&lt;32,"Design will operate only in the AM range, not all features may be available",""))</f>
        <v/>
      </c>
    </row>
    <row r="96" spans="1:10" ht="18.75" customHeight="1">
      <c r="A96" s="4" t="s">
        <v>196</v>
      </c>
      <c r="B96" s="177" t="s">
        <v>197</v>
      </c>
      <c r="C96" s="21">
        <f>(1/fmax*kHz)</f>
        <v>20.276357835570227</v>
      </c>
      <c r="D96" s="313" t="s">
        <v>37</v>
      </c>
      <c r="E96" s="256"/>
    </row>
    <row r="97" spans="1:5" ht="18.75" customHeight="1">
      <c r="A97" s="4" t="s">
        <v>198</v>
      </c>
      <c r="B97" s="177" t="s">
        <v>199</v>
      </c>
      <c r="C97" s="21">
        <f>Ipp_nom*Lp/Vbulk_valley</f>
        <v>8.374940087502722</v>
      </c>
      <c r="D97" s="313" t="s">
        <v>37</v>
      </c>
      <c r="E97" s="256"/>
    </row>
    <row r="98" spans="1:5" ht="18.75" customHeight="1">
      <c r="A98" s="4" t="s">
        <v>212</v>
      </c>
      <c r="B98" s="177" t="s">
        <v>213</v>
      </c>
      <c r="C98" s="21">
        <f>(ton_max*us)*(fmax*kHz)</f>
        <v>0.41303966695689337</v>
      </c>
      <c r="D98" s="313"/>
      <c r="E98" s="256"/>
    </row>
    <row r="99" spans="1:5" ht="18.75" customHeight="1">
      <c r="A99" s="4" t="s">
        <v>214</v>
      </c>
      <c r="B99" s="177" t="s">
        <v>215</v>
      </c>
      <c r="C99" s="21">
        <f>(Lp*uH)*Ipp_nom/(Nps*(Vout_cv+Vf+(DCR_Lout*mOhms*Iocc)))/us</f>
        <v>8.6174520801173458</v>
      </c>
      <c r="D99" s="313" t="s">
        <v>37</v>
      </c>
      <c r="E99" s="256"/>
    </row>
    <row r="100" spans="1:5" ht="18.75" customHeight="1">
      <c r="A100" s="4" t="s">
        <v>200</v>
      </c>
      <c r="B100" s="177" t="s">
        <v>114</v>
      </c>
      <c r="C100" s="21">
        <f>(Ipp_nom/SQRT(3))*(SQRT(ton_max/tsw))</f>
        <v>9.4009672522564078E-2</v>
      </c>
      <c r="D100" s="313" t="s">
        <v>12</v>
      </c>
      <c r="E100" s="256"/>
    </row>
    <row r="101" spans="1:5" ht="18.75" customHeight="1">
      <c r="A101" s="4" t="s">
        <v>208</v>
      </c>
      <c r="B101" s="177" t="s">
        <v>209</v>
      </c>
      <c r="C101" s="21">
        <f>Ipp_nom*Nps</f>
        <v>5.5485742379547691</v>
      </c>
      <c r="D101" s="313" t="s">
        <v>12</v>
      </c>
      <c r="E101" s="256"/>
    </row>
    <row r="102" spans="1:5" ht="18.75" customHeight="1">
      <c r="A102" s="4" t="s">
        <v>210</v>
      </c>
      <c r="B102" s="177" t="s">
        <v>211</v>
      </c>
      <c r="C102" s="21">
        <f>Isp_max*SQRT(Ddemag_cc/3)</f>
        <v>2.0884074739292395</v>
      </c>
      <c r="D102" s="313" t="s">
        <v>12</v>
      </c>
      <c r="E102" s="256"/>
    </row>
    <row r="103" spans="1:5" ht="18.75" customHeight="1">
      <c r="A103" s="4" t="s">
        <v>290</v>
      </c>
      <c r="B103" s="177" t="s">
        <v>291</v>
      </c>
      <c r="C103" s="21">
        <v>8.15</v>
      </c>
      <c r="D103" s="182" t="s">
        <v>10</v>
      </c>
      <c r="E103" s="183" t="s">
        <v>373</v>
      </c>
    </row>
    <row r="104" spans="1:5" ht="18.75" customHeight="1">
      <c r="A104" s="4" t="s">
        <v>292</v>
      </c>
      <c r="B104" s="177" t="s">
        <v>293</v>
      </c>
      <c r="C104" s="21">
        <v>7.35</v>
      </c>
      <c r="D104" s="182" t="s">
        <v>10</v>
      </c>
      <c r="E104" s="183" t="s">
        <v>373</v>
      </c>
    </row>
    <row r="105" spans="1:5" ht="18.75" customHeight="1">
      <c r="A105" s="7" t="s">
        <v>287</v>
      </c>
      <c r="B105" s="177" t="s">
        <v>288</v>
      </c>
      <c r="C105" s="21">
        <f>(VDDoff_max+Vfa)/(Vout_cc+Vf+(DCR_Lout*mOhms*Iocc))</f>
        <v>1.7011278195488722</v>
      </c>
      <c r="D105" s="313"/>
      <c r="E105" s="256"/>
    </row>
    <row r="106" spans="1:5" ht="18.75" customHeight="1">
      <c r="A106" s="4" t="s">
        <v>278</v>
      </c>
      <c r="B106" s="177" t="s">
        <v>270</v>
      </c>
      <c r="C106" s="21">
        <f>Nps/Nas_rcmd</f>
        <v>12.873812154696132</v>
      </c>
      <c r="D106" s="313"/>
      <c r="E106" s="256"/>
    </row>
    <row r="107" spans="1:5" ht="18.75" customHeight="1">
      <c r="A107" s="25" t="s">
        <v>279</v>
      </c>
      <c r="B107" s="180" t="s">
        <v>277</v>
      </c>
      <c r="C107" s="33">
        <f>IF('START HERE'!C57="","",'START HERE'!C57)</f>
        <v>7.5510000000000002</v>
      </c>
      <c r="D107" s="443" t="s">
        <v>98</v>
      </c>
      <c r="E107" s="444"/>
    </row>
    <row r="108" spans="1:5" ht="18.75" customHeight="1">
      <c r="A108" s="7" t="s">
        <v>282</v>
      </c>
      <c r="B108" s="177" t="s">
        <v>283</v>
      </c>
      <c r="C108" s="21">
        <f>IF('START HERE'!C57="",Npa_rcmd,Npa_actual)</f>
        <v>7.5510000000000002</v>
      </c>
      <c r="D108" s="313"/>
      <c r="E108" s="256"/>
    </row>
    <row r="109" spans="1:5" ht="55.5" customHeight="1">
      <c r="A109" s="77" t="s">
        <v>284</v>
      </c>
      <c r="B109" s="78" t="s">
        <v>285</v>
      </c>
      <c r="C109" s="79">
        <f>((Vout_cv+Vf+(DCR_Lout*mOhms*Iocc))*Nps-Vfa*Npa)/Npa</f>
        <v>14.674493444576877</v>
      </c>
      <c r="D109" s="196" t="s">
        <v>10</v>
      </c>
      <c r="E109" s="197" t="str">
        <f>IF(VDD &gt; 25,"A zener clamp is needed to protect VDD from Exceeding ABS MAX over entire operating range","")</f>
        <v/>
      </c>
    </row>
    <row r="110" spans="1:5" ht="18.75" customHeight="1">
      <c r="A110" s="50" t="s">
        <v>294</v>
      </c>
      <c r="B110" s="181" t="s">
        <v>295</v>
      </c>
      <c r="C110" s="51">
        <f>Nps/Npa</f>
        <v>2.9002781088597533</v>
      </c>
      <c r="D110" s="420"/>
      <c r="E110" s="421"/>
    </row>
    <row r="111" spans="1:5" ht="18.75" customHeight="1">
      <c r="A111" s="50" t="s">
        <v>743</v>
      </c>
      <c r="B111" s="177" t="s">
        <v>705</v>
      </c>
      <c r="C111" s="51">
        <v>280</v>
      </c>
      <c r="D111" s="178" t="s">
        <v>52</v>
      </c>
      <c r="E111" s="184"/>
    </row>
    <row r="112" spans="1:5" ht="18.75" customHeight="1">
      <c r="A112" s="4" t="s">
        <v>703</v>
      </c>
      <c r="B112" s="177" t="s">
        <v>704</v>
      </c>
      <c r="C112" s="21">
        <f>(Lp*uH*Ipp_nom)/(Vbulk_max*Kam_nom)/ns</f>
        <v>1378.0942991130305</v>
      </c>
      <c r="D112" s="52" t="s">
        <v>52</v>
      </c>
      <c r="E112" s="53" t="str">
        <f>IF(ton_min&lt;tonmin_limit,"Increase Primary Inductance","")</f>
        <v/>
      </c>
    </row>
    <row r="113" spans="1:5" ht="18.75" customHeight="1">
      <c r="A113" s="4" t="s">
        <v>324</v>
      </c>
      <c r="B113" s="177" t="s">
        <v>325</v>
      </c>
      <c r="C113" s="21">
        <f>((ton_min*ns)*Vbulk_max)/(Nps*(Vout_cv+Vf+(DCR_Lout*mOhms)))/us</f>
        <v>2.1543630200293364</v>
      </c>
      <c r="D113" s="313" t="s">
        <v>37</v>
      </c>
      <c r="E113" s="256"/>
    </row>
    <row r="114" spans="1:5" ht="18.75" customHeight="1" thickBot="1">
      <c r="A114" s="80" t="s">
        <v>289</v>
      </c>
      <c r="B114" s="81" t="s">
        <v>499</v>
      </c>
      <c r="C114" s="82">
        <f>((VDDoff_min+Vfa)/Nas)-Vf-(DCR_Lout*mOhms*Iocc)</f>
        <v>2.4745547945205479</v>
      </c>
      <c r="D114" s="422" t="s">
        <v>10</v>
      </c>
      <c r="E114" s="423"/>
    </row>
    <row r="115" spans="1:5" ht="18.75" customHeight="1" thickBot="1"/>
    <row r="116" spans="1:5" ht="18.75" customHeight="1">
      <c r="A116" s="388" t="s">
        <v>101</v>
      </c>
      <c r="B116" s="389"/>
      <c r="C116" s="389"/>
      <c r="D116" s="389"/>
      <c r="E116" s="390"/>
    </row>
    <row r="117" spans="1:5" ht="18.75" customHeight="1">
      <c r="A117" s="179" t="s">
        <v>713</v>
      </c>
      <c r="B117" s="194" t="s">
        <v>714</v>
      </c>
      <c r="C117" s="21">
        <f>(Vbulk_max+(Nps*(Vout_cv+Vf+((DCR_Lout*mOhms)*Iocc_target))))*1.3</f>
        <v>391.8859920410531</v>
      </c>
      <c r="D117" s="438" t="s">
        <v>10</v>
      </c>
      <c r="E117" s="439"/>
    </row>
    <row r="118" spans="1:5" ht="18.75" customHeight="1">
      <c r="A118" s="25" t="s">
        <v>173</v>
      </c>
      <c r="B118" s="92" t="s">
        <v>227</v>
      </c>
      <c r="C118" s="33">
        <f>'START HERE'!C60</f>
        <v>700</v>
      </c>
      <c r="D118" s="32" t="s">
        <v>10</v>
      </c>
      <c r="E118" s="430" t="s">
        <v>97</v>
      </c>
    </row>
    <row r="119" spans="1:5" ht="18.75">
      <c r="A119" s="25" t="s">
        <v>172</v>
      </c>
      <c r="B119" s="92" t="s">
        <v>229</v>
      </c>
      <c r="C119" s="32">
        <f>'START HERE'!C61</f>
        <v>17</v>
      </c>
      <c r="D119" s="32" t="s">
        <v>28</v>
      </c>
      <c r="E119" s="431"/>
    </row>
    <row r="120" spans="1:5" ht="18.75" customHeight="1">
      <c r="A120" s="25" t="s">
        <v>171</v>
      </c>
      <c r="B120" s="92" t="s">
        <v>230</v>
      </c>
      <c r="C120" s="33">
        <f>'START HERE'!C62</f>
        <v>0.19</v>
      </c>
      <c r="D120" s="32" t="s">
        <v>48</v>
      </c>
      <c r="E120" s="431"/>
    </row>
    <row r="121" spans="1:5" ht="18.75" customHeight="1">
      <c r="A121" s="25" t="s">
        <v>239</v>
      </c>
      <c r="B121" s="92" t="s">
        <v>241</v>
      </c>
      <c r="C121" s="33">
        <f>'START HERE'!C63</f>
        <v>9</v>
      </c>
      <c r="D121" s="32" t="s">
        <v>52</v>
      </c>
      <c r="E121" s="431"/>
    </row>
    <row r="122" spans="1:5" ht="18.75" customHeight="1">
      <c r="A122" s="64" t="s">
        <v>410</v>
      </c>
      <c r="B122" s="92" t="s">
        <v>411</v>
      </c>
      <c r="C122" s="32">
        <f>'START HERE'!C64</f>
        <v>54</v>
      </c>
      <c r="D122" s="32" t="s">
        <v>52</v>
      </c>
      <c r="E122" s="431"/>
    </row>
    <row r="123" spans="1:5" ht="18.75" customHeight="1">
      <c r="A123" s="25" t="s">
        <v>452</v>
      </c>
      <c r="B123" s="92" t="s">
        <v>453</v>
      </c>
      <c r="C123" s="33">
        <f>'START HERE'!C65</f>
        <v>23</v>
      </c>
      <c r="D123" s="32" t="s">
        <v>419</v>
      </c>
      <c r="E123" s="432"/>
    </row>
    <row r="124" spans="1:5" ht="19.5" customHeight="1">
      <c r="A124" s="4" t="s">
        <v>745</v>
      </c>
      <c r="B124" s="1" t="s">
        <v>747</v>
      </c>
      <c r="C124" s="21">
        <f>1/(2*PI()*SQRT(Lp*uH*Coss*2*pF))/MHz</f>
        <v>0.43156943336283787</v>
      </c>
      <c r="D124" s="313" t="s">
        <v>263</v>
      </c>
      <c r="E124" s="256"/>
    </row>
    <row r="125" spans="1:5" ht="18.75" customHeight="1">
      <c r="A125" s="4" t="s">
        <v>752</v>
      </c>
      <c r="B125" s="215" t="s">
        <v>746</v>
      </c>
      <c r="C125" s="21">
        <f>1/(2*fres_actual*MHz)/us</f>
        <v>1.1585621254590333</v>
      </c>
      <c r="D125" s="424" t="s">
        <v>748</v>
      </c>
      <c r="E125" s="425"/>
    </row>
    <row r="126" spans="1:5" ht="18.75" customHeight="1">
      <c r="A126" s="4" t="s">
        <v>749</v>
      </c>
      <c r="B126" s="215" t="s">
        <v>750</v>
      </c>
      <c r="C126" s="230" t="str">
        <f>IF((1-((tres_actual*us)*(fmax*kHz))-Ddemag_cc)&lt;(1-((2.1*us)*(fmax*kHz))-Ddemag_cc),"NO","YES")</f>
        <v>YES</v>
      </c>
      <c r="D126" s="426" t="str">
        <f>IF(C126="NO", "Efficiency will be impacted","")</f>
        <v/>
      </c>
      <c r="E126" s="427"/>
    </row>
    <row r="127" spans="1:5" ht="18.75" customHeight="1">
      <c r="A127" s="4" t="s">
        <v>300</v>
      </c>
      <c r="B127" s="94" t="s">
        <v>228</v>
      </c>
      <c r="C127" s="21">
        <f>Vds_min_rating/Vds</f>
        <v>0.5598371314872187</v>
      </c>
      <c r="D127" s="313"/>
      <c r="E127" s="256"/>
    </row>
    <row r="128" spans="1:5" ht="18.75" customHeight="1">
      <c r="A128" s="4" t="s">
        <v>301</v>
      </c>
      <c r="B128" s="94" t="s">
        <v>302</v>
      </c>
      <c r="C128" s="21">
        <f>((Ipp_wc/SQRT(3))*(SQRT(ton_max/tsw)))*10</f>
        <v>0.9950453401188718</v>
      </c>
      <c r="D128" s="313" t="s">
        <v>12</v>
      </c>
      <c r="E128" s="256"/>
    </row>
    <row r="129" spans="1:5" ht="18.75" customHeight="1">
      <c r="A129" s="4" t="s">
        <v>303</v>
      </c>
      <c r="B129" s="94" t="s">
        <v>304</v>
      </c>
      <c r="C129" s="21">
        <f>Ipp_wc*10</f>
        <v>2.6816840976133012</v>
      </c>
      <c r="D129" s="313" t="s">
        <v>12</v>
      </c>
      <c r="E129" s="256"/>
    </row>
    <row r="130" spans="1:5" ht="18.75" customHeight="1">
      <c r="A130" s="4" t="s">
        <v>236</v>
      </c>
      <c r="B130" s="94" t="s">
        <v>235</v>
      </c>
      <c r="C130" s="21">
        <f>(Ipri_RMS^2)*Rdson</f>
        <v>1.6791855202819505E-3</v>
      </c>
      <c r="D130" s="266" t="s">
        <v>13</v>
      </c>
      <c r="E130" s="248"/>
    </row>
    <row r="131" spans="1:5" ht="18.75" customHeight="1">
      <c r="A131" s="4" t="s">
        <v>237</v>
      </c>
      <c r="B131" s="94" t="s">
        <v>238</v>
      </c>
      <c r="C131" s="21">
        <f>fmax*kHz*((((Coss*pF)*(Vbulk_max-Vflyback)^2)/2)+(((Vbulk_max+Vflyback)*Ipp_nom*tf*ns)/2))</f>
        <v>1.878989194602651E-2</v>
      </c>
      <c r="D131" s="266" t="s">
        <v>13</v>
      </c>
      <c r="E131" s="248"/>
    </row>
    <row r="132" spans="1:5" ht="18.75">
      <c r="A132" s="4" t="s">
        <v>243</v>
      </c>
      <c r="B132" s="94" t="s">
        <v>244</v>
      </c>
      <c r="C132" s="21">
        <f>Pfet_cond+Pfet_switch</f>
        <v>2.0469077466308459E-2</v>
      </c>
      <c r="D132" s="266" t="s">
        <v>13</v>
      </c>
      <c r="E132" s="248"/>
    </row>
    <row r="133" spans="1:5" ht="19.5" thickBot="1">
      <c r="A133" s="5" t="s">
        <v>268</v>
      </c>
      <c r="B133" s="24" t="s">
        <v>269</v>
      </c>
      <c r="C133" s="26">
        <f>(0.95*Vds)-(Vbulk_max+Nps*(Vout_cv+Vf+(DCR_Lout*mOhms)))</f>
        <v>363.54923689149763</v>
      </c>
      <c r="D133" s="338" t="s">
        <v>10</v>
      </c>
      <c r="E133" s="246"/>
    </row>
    <row r="134" spans="1:5" ht="15" thickBot="1">
      <c r="B134" s="1"/>
      <c r="C134" s="19"/>
    </row>
    <row r="135" spans="1:5" ht="18">
      <c r="A135" s="388" t="s">
        <v>309</v>
      </c>
      <c r="B135" s="389"/>
      <c r="C135" s="389"/>
      <c r="D135" s="389"/>
      <c r="E135" s="390"/>
    </row>
    <row r="136" spans="1:5" ht="18.75">
      <c r="A136" s="25" t="s">
        <v>99</v>
      </c>
      <c r="B136" s="92" t="s">
        <v>248</v>
      </c>
      <c r="C136" s="33">
        <f>IF('START HERE'!C43="",0.7,'START HERE'!C43)</f>
        <v>0.37</v>
      </c>
      <c r="D136" s="87" t="s">
        <v>10</v>
      </c>
      <c r="E136" s="42" t="s">
        <v>98</v>
      </c>
    </row>
    <row r="137" spans="1:5" ht="18.75">
      <c r="A137" s="4" t="s">
        <v>297</v>
      </c>
      <c r="B137" s="94" t="s">
        <v>298</v>
      </c>
      <c r="C137" s="21">
        <f>((Vbulk_max+Vdrain_clamp)/Nps)+Vout_ovp+(DCR_Lout*mOhms*Iocc)</f>
        <v>30.245296803652966</v>
      </c>
      <c r="D137" s="266" t="s">
        <v>10</v>
      </c>
      <c r="E137" s="248"/>
    </row>
    <row r="138" spans="1:5" ht="18.75">
      <c r="A138" s="4" t="s">
        <v>305</v>
      </c>
      <c r="B138" s="94" t="s">
        <v>306</v>
      </c>
      <c r="C138" s="21">
        <f>Isec_rms</f>
        <v>2.0884074739292395</v>
      </c>
      <c r="D138" s="266" t="s">
        <v>12</v>
      </c>
      <c r="E138" s="248"/>
    </row>
    <row r="139" spans="1:5" ht="19.5" thickBot="1">
      <c r="A139" s="5" t="s">
        <v>307</v>
      </c>
      <c r="B139" s="24" t="s">
        <v>308</v>
      </c>
      <c r="C139" s="26">
        <f>Vf*Iocc</f>
        <v>0.43625664945919368</v>
      </c>
      <c r="D139" s="338" t="s">
        <v>13</v>
      </c>
      <c r="E139" s="246"/>
    </row>
    <row r="140" spans="1:5" ht="14.25" customHeight="1" thickBot="1">
      <c r="E140" s="12"/>
    </row>
    <row r="141" spans="1:5" ht="18">
      <c r="A141" s="388" t="s">
        <v>310</v>
      </c>
      <c r="B141" s="389"/>
      <c r="C141" s="389"/>
      <c r="D141" s="389"/>
      <c r="E141" s="390"/>
    </row>
    <row r="142" spans="1:5" ht="18.75" customHeight="1">
      <c r="A142" s="25" t="s">
        <v>273</v>
      </c>
      <c r="B142" s="92" t="s">
        <v>274</v>
      </c>
      <c r="C142" s="33">
        <f>IF('START HERE'!C75="",0.7,'START HERE'!C75)</f>
        <v>0.9</v>
      </c>
      <c r="D142" s="87" t="s">
        <v>10</v>
      </c>
      <c r="E142" s="42" t="s">
        <v>98</v>
      </c>
    </row>
    <row r="143" spans="1:5" ht="19.5" thickBot="1">
      <c r="A143" s="5" t="s">
        <v>297</v>
      </c>
      <c r="B143" s="24" t="s">
        <v>296</v>
      </c>
      <c r="C143" s="26">
        <f>(Vout_cv*Nps/Npa)+(Vbulk_max/Npa)+VDD</f>
        <v>53.523356258575333</v>
      </c>
      <c r="D143" s="338" t="s">
        <v>10</v>
      </c>
      <c r="E143" s="246"/>
    </row>
    <row r="144" spans="1:5" ht="15" thickBot="1"/>
    <row r="145" spans="1:5" ht="18">
      <c r="A145" s="388" t="s">
        <v>311</v>
      </c>
      <c r="B145" s="389"/>
      <c r="C145" s="389"/>
      <c r="D145" s="389"/>
      <c r="E145" s="390"/>
    </row>
    <row r="146" spans="1:5" ht="19.5" thickBot="1">
      <c r="A146" s="46" t="s">
        <v>247</v>
      </c>
      <c r="B146" s="47" t="s">
        <v>246</v>
      </c>
      <c r="C146" s="195">
        <f>IF('START HERE'!C45="",0,'START HERE'!C45)</f>
        <v>0</v>
      </c>
      <c r="D146" s="89" t="s">
        <v>58</v>
      </c>
      <c r="E146" s="88" t="s">
        <v>98</v>
      </c>
    </row>
    <row r="147" spans="1:5" ht="14.25" customHeight="1" thickBot="1">
      <c r="E147" s="10"/>
    </row>
    <row r="148" spans="1:5" ht="18">
      <c r="A148" s="388" t="s">
        <v>312</v>
      </c>
      <c r="B148" s="389"/>
      <c r="C148" s="389"/>
      <c r="D148" s="389"/>
      <c r="E148" s="390"/>
    </row>
    <row r="149" spans="1:5" ht="18.75" customHeight="1">
      <c r="A149" s="409" t="s">
        <v>318</v>
      </c>
      <c r="B149" s="449" t="s">
        <v>319</v>
      </c>
      <c r="C149" s="450">
        <f>(Itran*tresp*ms)/Vout_delta/uF</f>
        <v>200000</v>
      </c>
      <c r="D149" s="417" t="s">
        <v>23</v>
      </c>
      <c r="E149" s="415" t="s">
        <v>758</v>
      </c>
    </row>
    <row r="150" spans="1:5">
      <c r="A150" s="409"/>
      <c r="B150" s="449"/>
      <c r="C150" s="450"/>
      <c r="D150" s="418"/>
      <c r="E150" s="416"/>
    </row>
    <row r="151" spans="1:5" ht="18.75" customHeight="1">
      <c r="A151" s="409" t="s">
        <v>421</v>
      </c>
      <c r="B151" s="449" t="s">
        <v>425</v>
      </c>
      <c r="C151" s="450">
        <f>'LOOKUP TABLES AND DROPDOWN LIST'!T23</f>
        <v>680</v>
      </c>
      <c r="D151" s="424" t="s">
        <v>23</v>
      </c>
      <c r="E151" s="425"/>
    </row>
    <row r="152" spans="1:5" ht="18.75" customHeight="1">
      <c r="A152" s="409"/>
      <c r="B152" s="449"/>
      <c r="C152" s="450"/>
      <c r="D152" s="424"/>
      <c r="E152" s="425"/>
    </row>
    <row r="153" spans="1:5" ht="18.75" customHeight="1">
      <c r="A153" s="103" t="s">
        <v>426</v>
      </c>
      <c r="B153" s="107" t="s">
        <v>427</v>
      </c>
      <c r="C153" s="66">
        <f>IF('START HERE'!C69="","",'START HERE'!C69)</f>
        <v>820</v>
      </c>
      <c r="D153" s="91" t="s">
        <v>428</v>
      </c>
      <c r="E153" s="90" t="s">
        <v>98</v>
      </c>
    </row>
    <row r="154" spans="1:5" ht="18.75" customHeight="1">
      <c r="A154" s="97" t="s">
        <v>429</v>
      </c>
      <c r="B154" s="99" t="s">
        <v>320</v>
      </c>
      <c r="C154" s="100">
        <f>IF(Cout_actual="",Cout_rcmd,Cout_actual)</f>
        <v>820</v>
      </c>
      <c r="D154" s="424" t="s">
        <v>428</v>
      </c>
      <c r="E154" s="425"/>
    </row>
    <row r="155" spans="1:5" ht="18.75">
      <c r="A155" s="97" t="s">
        <v>321</v>
      </c>
      <c r="B155" s="99" t="s">
        <v>322</v>
      </c>
      <c r="C155" s="100">
        <f>SQRT((Iocc^2)+((Lp*uH*Ipp_nom*fmax*kHz/Vbulk_valley)*((Isp_max^2/3)-Isp_max*Iocc)))</f>
        <v>1.7107722872181603</v>
      </c>
      <c r="D155" s="424" t="s">
        <v>12</v>
      </c>
      <c r="E155" s="425"/>
    </row>
    <row r="156" spans="1:5" ht="18.75">
      <c r="A156" s="54" t="s">
        <v>432</v>
      </c>
      <c r="B156" s="99" t="s">
        <v>431</v>
      </c>
      <c r="C156" s="100">
        <f>Vripple_target*mV/Isp_max/mOhms</f>
        <v>14.418118343404988</v>
      </c>
      <c r="D156" s="424" t="s">
        <v>58</v>
      </c>
      <c r="E156" s="425"/>
    </row>
    <row r="157" spans="1:5" ht="18.75">
      <c r="A157" s="67" t="s">
        <v>433</v>
      </c>
      <c r="B157" s="107" t="s">
        <v>434</v>
      </c>
      <c r="C157" s="66">
        <f>IF('START HERE'!C71="","",'START HERE'!C71)</f>
        <v>23</v>
      </c>
      <c r="D157" s="91" t="s">
        <v>58</v>
      </c>
      <c r="E157" s="90" t="s">
        <v>98</v>
      </c>
    </row>
    <row r="158" spans="1:5" ht="18.75">
      <c r="A158" s="54" t="s">
        <v>439</v>
      </c>
      <c r="B158" s="99" t="s">
        <v>323</v>
      </c>
      <c r="C158" s="100">
        <f>IF(ESRactual="",ESRrcmd,ESRactual)</f>
        <v>23</v>
      </c>
      <c r="D158" s="424" t="s">
        <v>58</v>
      </c>
      <c r="E158" s="425"/>
    </row>
    <row r="159" spans="1:5" ht="17.25" thickBot="1">
      <c r="A159" s="95" t="s">
        <v>440</v>
      </c>
      <c r="B159" s="83" t="s">
        <v>500</v>
      </c>
      <c r="C159" s="84">
        <f>(SQRT(((Isp_max*ESR*mOhms)^2)+((Iocc*ton_max*us)/(Cout*uF))^2))/mV</f>
        <v>128.18411679121516</v>
      </c>
      <c r="D159" s="447" t="s">
        <v>14</v>
      </c>
      <c r="E159" s="448"/>
    </row>
    <row r="160" spans="1:5" ht="15" thickBot="1">
      <c r="A160" s="49"/>
      <c r="B160" s="49"/>
      <c r="C160" s="49"/>
      <c r="D160" s="49"/>
      <c r="E160" s="49"/>
    </row>
    <row r="161" spans="1:5" s="12" customFormat="1" ht="18">
      <c r="A161" s="451" t="s">
        <v>365</v>
      </c>
      <c r="B161" s="452"/>
      <c r="C161" s="452"/>
      <c r="D161" s="452"/>
      <c r="E161" s="453"/>
    </row>
    <row r="162" spans="1:5" ht="18.75">
      <c r="A162" s="4" t="s">
        <v>332</v>
      </c>
      <c r="B162" s="94" t="s">
        <v>333</v>
      </c>
      <c r="C162" s="111">
        <v>190</v>
      </c>
      <c r="D162" s="101" t="s">
        <v>334</v>
      </c>
      <c r="E162" s="102" t="s">
        <v>373</v>
      </c>
    </row>
    <row r="163" spans="1:5" ht="18.75">
      <c r="A163" s="4" t="s">
        <v>348</v>
      </c>
      <c r="B163" s="94" t="s">
        <v>349</v>
      </c>
      <c r="C163" s="111">
        <v>225</v>
      </c>
      <c r="D163" s="101" t="s">
        <v>334</v>
      </c>
      <c r="E163" s="102" t="s">
        <v>373</v>
      </c>
    </row>
    <row r="164" spans="1:5" ht="18.75">
      <c r="A164" s="4" t="s">
        <v>335</v>
      </c>
      <c r="B164" s="94" t="s">
        <v>336</v>
      </c>
      <c r="C164" s="111">
        <v>275</v>
      </c>
      <c r="D164" s="101" t="s">
        <v>334</v>
      </c>
      <c r="E164" s="102" t="s">
        <v>373</v>
      </c>
    </row>
    <row r="165" spans="1:5" ht="18.75">
      <c r="A165" s="4" t="s">
        <v>358</v>
      </c>
      <c r="B165" s="94" t="s">
        <v>360</v>
      </c>
      <c r="C165" s="111">
        <v>70</v>
      </c>
      <c r="D165" s="101" t="s">
        <v>334</v>
      </c>
      <c r="E165" s="102" t="s">
        <v>373</v>
      </c>
    </row>
    <row r="166" spans="1:5" ht="18.75">
      <c r="A166" s="4" t="s">
        <v>357</v>
      </c>
      <c r="B166" s="94" t="s">
        <v>361</v>
      </c>
      <c r="C166" s="111">
        <v>80</v>
      </c>
      <c r="D166" s="101" t="s">
        <v>334</v>
      </c>
      <c r="E166" s="102" t="s">
        <v>373</v>
      </c>
    </row>
    <row r="167" spans="1:5" ht="18.75">
      <c r="A167" s="4" t="s">
        <v>359</v>
      </c>
      <c r="B167" s="94" t="s">
        <v>362</v>
      </c>
      <c r="C167" s="111">
        <v>100</v>
      </c>
      <c r="D167" s="101" t="s">
        <v>334</v>
      </c>
      <c r="E167" s="102" t="s">
        <v>373</v>
      </c>
    </row>
    <row r="168" spans="1:5" ht="18.75" customHeight="1">
      <c r="A168" s="391" t="s">
        <v>344</v>
      </c>
      <c r="B168" s="345" t="s">
        <v>342</v>
      </c>
      <c r="C168" s="392">
        <f>'LOOKUP TABLES AND DROPDOWN LIST'!H57</f>
        <v>59</v>
      </c>
      <c r="D168" s="266" t="s">
        <v>340</v>
      </c>
      <c r="E168" s="248"/>
    </row>
    <row r="169" spans="1:5">
      <c r="A169" s="391"/>
      <c r="B169" s="345"/>
      <c r="C169" s="392"/>
      <c r="D169" s="266"/>
      <c r="E169" s="248"/>
    </row>
    <row r="170" spans="1:5" ht="15" customHeight="1">
      <c r="A170" s="393" t="s">
        <v>345</v>
      </c>
      <c r="B170" s="412" t="s">
        <v>346</v>
      </c>
      <c r="C170" s="419">
        <f>IF('START HERE'!C78="","",'START HERE'!C78)</f>
        <v>59</v>
      </c>
      <c r="D170" s="414" t="s">
        <v>340</v>
      </c>
      <c r="E170" s="394" t="s">
        <v>98</v>
      </c>
    </row>
    <row r="171" spans="1:5">
      <c r="A171" s="393"/>
      <c r="B171" s="412"/>
      <c r="C171" s="419"/>
      <c r="D171" s="414"/>
      <c r="E171" s="394"/>
    </row>
    <row r="172" spans="1:5" ht="18.75">
      <c r="A172" s="98" t="s">
        <v>347</v>
      </c>
      <c r="B172" s="94" t="s">
        <v>337</v>
      </c>
      <c r="C172" s="58">
        <f>IF(Rvs1_actual="",Rvs1_rcmd,Rvs1_actual)</f>
        <v>59</v>
      </c>
      <c r="D172" s="266" t="s">
        <v>340</v>
      </c>
      <c r="E172" s="248"/>
    </row>
    <row r="173" spans="1:5" ht="18.75">
      <c r="A173" s="98" t="s">
        <v>353</v>
      </c>
      <c r="B173" s="94" t="s">
        <v>350</v>
      </c>
      <c r="C173" s="59">
        <f>IF(Vin_type="AC",(R_vs1*kOhms*Npa*Ivslrun_min*uA)/SQRT(2),R_vs1*kOhms*Npa*Ivslrun_min*uA)</f>
        <v>59.85426264613114</v>
      </c>
      <c r="D173" s="266" t="str">
        <f t="shared" ref="D173:D178" si="0">IF(Vin_type="AC","VAC","VDC")</f>
        <v>VAC</v>
      </c>
      <c r="E173" s="248"/>
    </row>
    <row r="174" spans="1:5" ht="16.5">
      <c r="A174" s="77" t="s">
        <v>352</v>
      </c>
      <c r="B174" s="78" t="s">
        <v>501</v>
      </c>
      <c r="C174" s="79">
        <f>IF(Vin_type="AC",(R_vs1*kOhms*Npa*Ivslrun_nom*uA)/SQRT(2),R_vs1*kOhms*Npa*Ivslrun_nom*uA)</f>
        <v>70.880047870418451</v>
      </c>
      <c r="D174" s="428" t="str">
        <f t="shared" si="0"/>
        <v>VAC</v>
      </c>
      <c r="E174" s="429"/>
    </row>
    <row r="175" spans="1:5" ht="18.75">
      <c r="A175" s="98" t="s">
        <v>354</v>
      </c>
      <c r="B175" s="94" t="s">
        <v>351</v>
      </c>
      <c r="C175" s="59">
        <f>IF(Vin_type="AC",(R_vs1*kOhms*Npa*Ivslrun_max*uA)/SQRT(2),R_vs1*kOhms*Npa*Ivslrun_max*uA)</f>
        <v>86.631169619400325</v>
      </c>
      <c r="D175" s="266" t="str">
        <f t="shared" si="0"/>
        <v>VAC</v>
      </c>
      <c r="E175" s="248"/>
    </row>
    <row r="176" spans="1:5" ht="18.75">
      <c r="A176" s="98" t="s">
        <v>355</v>
      </c>
      <c r="B176" s="94" t="s">
        <v>363</v>
      </c>
      <c r="C176" s="21">
        <f>IF(Vin_type="AC",((R_vs1*kOhms*Npa*Ivslstop_min*uA)+(Vbulk_min-Vbulk_valley))/SQRT(2),((R_vs1*kOhms*Npa*Ivslstop_min*uA)+(Vbulk_min-Vbulk_valley)))</f>
        <v>46.485700358576473</v>
      </c>
      <c r="D176" s="266" t="str">
        <f t="shared" si="0"/>
        <v>VAC</v>
      </c>
      <c r="E176" s="248"/>
    </row>
    <row r="177" spans="1:5" ht="16.5">
      <c r="A177" s="85" t="s">
        <v>387</v>
      </c>
      <c r="B177" s="78" t="s">
        <v>502</v>
      </c>
      <c r="C177" s="79">
        <f>IF(Vin_type="AC",((R_vs1*kOhms*Npa*Ivslstop_nom*uA)+(Vbulk_min-Vbulk_valley))/SQRT(2),((R_vs1*kOhms*Npa*Ivslstop_nom*uA)+(Vbulk_min-Vbulk_valley)))</f>
        <v>49.635924708372848</v>
      </c>
      <c r="D177" s="428" t="str">
        <f t="shared" si="0"/>
        <v>VAC</v>
      </c>
      <c r="E177" s="429"/>
    </row>
    <row r="178" spans="1:5" ht="18.75">
      <c r="A178" s="98" t="s">
        <v>356</v>
      </c>
      <c r="B178" s="94" t="s">
        <v>364</v>
      </c>
      <c r="C178" s="21">
        <f>IF(Vin_type="AC",((R_vs1*kOhms*Npa*Ivslstop_max*uA)+(Vbulk_min-Vbulk_valley))/SQRT(2),((R_vs1*kOhms*Npa*Ivslstop_max*uA)+(Vbulk_min-Vbulk_valley)))</f>
        <v>55.936373407965597</v>
      </c>
      <c r="D178" s="266" t="str">
        <f t="shared" si="0"/>
        <v>VAC</v>
      </c>
      <c r="E178" s="248"/>
    </row>
    <row r="179" spans="1:5" ht="18.75">
      <c r="A179" s="4" t="s">
        <v>368</v>
      </c>
      <c r="B179" s="94" t="s">
        <v>367</v>
      </c>
      <c r="C179" s="111">
        <v>4.5199999999999996</v>
      </c>
      <c r="D179" s="101" t="s">
        <v>10</v>
      </c>
      <c r="E179" s="102" t="s">
        <v>373</v>
      </c>
    </row>
    <row r="180" spans="1:5" ht="18.75">
      <c r="A180" s="98" t="s">
        <v>369</v>
      </c>
      <c r="B180" s="94" t="s">
        <v>370</v>
      </c>
      <c r="C180" s="21">
        <v>4.5999999999999996</v>
      </c>
      <c r="D180" s="101" t="s">
        <v>10</v>
      </c>
      <c r="E180" s="102" t="s">
        <v>373</v>
      </c>
    </row>
    <row r="181" spans="1:5" ht="18.75">
      <c r="A181" s="98" t="s">
        <v>371</v>
      </c>
      <c r="B181" s="94" t="s">
        <v>372</v>
      </c>
      <c r="C181" s="21">
        <v>4.71</v>
      </c>
      <c r="D181" s="101" t="s">
        <v>10</v>
      </c>
      <c r="E181" s="102" t="s">
        <v>373</v>
      </c>
    </row>
    <row r="182" spans="1:5" ht="18.75" customHeight="1">
      <c r="A182" s="391" t="s">
        <v>414</v>
      </c>
      <c r="B182" s="345" t="s">
        <v>366</v>
      </c>
      <c r="C182" s="392">
        <f>'LOOKUP TABLES AND DROPDOWN LIST'!H60</f>
        <v>28.7</v>
      </c>
      <c r="D182" s="266" t="s">
        <v>374</v>
      </c>
      <c r="E182" s="248"/>
    </row>
    <row r="183" spans="1:5">
      <c r="A183" s="391"/>
      <c r="B183" s="345"/>
      <c r="C183" s="392"/>
      <c r="D183" s="266"/>
      <c r="E183" s="248"/>
    </row>
    <row r="184" spans="1:5" ht="18.75" customHeight="1">
      <c r="A184" s="393" t="s">
        <v>380</v>
      </c>
      <c r="B184" s="395" t="s">
        <v>379</v>
      </c>
      <c r="C184" s="397">
        <f>IF('START HERE'!C81="","",'START HERE'!C81)</f>
        <v>28.7</v>
      </c>
      <c r="D184" s="399" t="s">
        <v>374</v>
      </c>
      <c r="E184" s="394" t="s">
        <v>98</v>
      </c>
    </row>
    <row r="185" spans="1:5" ht="14.25" customHeight="1">
      <c r="A185" s="393"/>
      <c r="B185" s="396"/>
      <c r="C185" s="398"/>
      <c r="D185" s="400"/>
      <c r="E185" s="394"/>
    </row>
    <row r="186" spans="1:5" ht="18.75">
      <c r="A186" s="98" t="s">
        <v>386</v>
      </c>
      <c r="B186" s="94" t="s">
        <v>381</v>
      </c>
      <c r="C186" s="21">
        <f>IF(Rvs2_actual="",Rvs2_rcmd,Rvs2_actual)</f>
        <v>28.7</v>
      </c>
      <c r="D186" s="266" t="s">
        <v>374</v>
      </c>
      <c r="E186" s="248"/>
    </row>
    <row r="187" spans="1:5" ht="18.75">
      <c r="A187" s="98" t="s">
        <v>388</v>
      </c>
      <c r="B187" s="94" t="s">
        <v>389</v>
      </c>
      <c r="C187" s="21">
        <f>(((R_vs1*kOhms*Vovp_min)/(R_vs2*kOhms)+Vovp_min)/Nas)+Vf+(DCR_Lout*mOhms*Iocc)</f>
        <v>5.1322971123096757</v>
      </c>
      <c r="D187" s="266" t="s">
        <v>10</v>
      </c>
      <c r="E187" s="248"/>
    </row>
    <row r="188" spans="1:5" ht="16.5">
      <c r="A188" s="85" t="s">
        <v>390</v>
      </c>
      <c r="B188" s="78" t="s">
        <v>503</v>
      </c>
      <c r="C188" s="79">
        <f>(((R_vs1*kOhms*Vovp_nom)/(R_vs2*kOhms)+Vovp_nom)/Nas)+Vf+(DCR_Lout*mOhms*Iocc)</f>
        <v>5.2165855567753336</v>
      </c>
      <c r="D188" s="196" t="s">
        <v>10</v>
      </c>
      <c r="E188" s="231" t="s">
        <v>759</v>
      </c>
    </row>
    <row r="189" spans="1:5" ht="19.5" thickBot="1">
      <c r="A189" s="62" t="s">
        <v>392</v>
      </c>
      <c r="B189" s="24" t="s">
        <v>391</v>
      </c>
      <c r="C189" s="26">
        <f>(((R_vs1*kOhms*Vovp_max)/(R_vs2*kOhms)+Vovp_max)/Nas)+Vf+(DCR_Lout*mOhms*Iocc)</f>
        <v>5.3324821679156127</v>
      </c>
      <c r="D189" s="338" t="s">
        <v>10</v>
      </c>
      <c r="E189" s="246"/>
    </row>
    <row r="190" spans="1:5" ht="15" thickBot="1">
      <c r="C190" s="57"/>
    </row>
    <row r="191" spans="1:5" ht="18">
      <c r="A191" s="388" t="s">
        <v>330</v>
      </c>
      <c r="B191" s="389"/>
      <c r="C191" s="389"/>
      <c r="D191" s="389"/>
      <c r="E191" s="390"/>
    </row>
    <row r="192" spans="1:5" ht="18.75">
      <c r="A192" s="69" t="s">
        <v>408</v>
      </c>
      <c r="B192" s="94" t="s">
        <v>407</v>
      </c>
      <c r="C192" s="111">
        <v>25</v>
      </c>
      <c r="D192" s="101" t="s">
        <v>406</v>
      </c>
      <c r="E192" s="102" t="s">
        <v>373</v>
      </c>
    </row>
    <row r="193" spans="1:5" ht="18.75">
      <c r="A193" s="69" t="s">
        <v>413</v>
      </c>
      <c r="B193" s="94" t="s">
        <v>412</v>
      </c>
      <c r="C193" s="111">
        <f>tdoff+50</f>
        <v>104</v>
      </c>
      <c r="D193" s="266" t="s">
        <v>52</v>
      </c>
      <c r="E193" s="248"/>
    </row>
    <row r="194" spans="1:5" ht="18.75" customHeight="1">
      <c r="A194" s="69" t="s">
        <v>416</v>
      </c>
      <c r="B194" s="94" t="s">
        <v>462</v>
      </c>
      <c r="C194" s="21">
        <f>'LOOKUP TABLES AND DROPDOWN LIST'!H63</f>
        <v>0.8660000000000001</v>
      </c>
      <c r="D194" s="266" t="s">
        <v>340</v>
      </c>
      <c r="E194" s="248"/>
    </row>
    <row r="195" spans="1:5" ht="18.75" customHeight="1">
      <c r="A195" s="63" t="s">
        <v>461</v>
      </c>
      <c r="B195" s="92" t="s">
        <v>463</v>
      </c>
      <c r="C195" s="33">
        <f>IF('START HERE'!C84="","",'START HERE'!C84)</f>
        <v>0.64900000000000002</v>
      </c>
      <c r="D195" s="93" t="s">
        <v>374</v>
      </c>
      <c r="E195" s="96" t="s">
        <v>98</v>
      </c>
    </row>
    <row r="196" spans="1:5" ht="18.75" customHeight="1">
      <c r="A196" s="69" t="s">
        <v>464</v>
      </c>
      <c r="B196" s="94" t="s">
        <v>415</v>
      </c>
      <c r="C196" s="21">
        <f>IF(Rlc_actual="",Rlc_rcmd,Rlc_actual)</f>
        <v>0.64900000000000002</v>
      </c>
      <c r="D196" s="266" t="s">
        <v>374</v>
      </c>
      <c r="E196" s="248"/>
    </row>
    <row r="197" spans="1:5" ht="18.75" customHeight="1">
      <c r="A197" s="407" t="s">
        <v>504</v>
      </c>
      <c r="B197" s="401" t="str">
        <f>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Using a resistor value that is significantly less than that recommended will result in a higher constant current output at higher input line voltage.</v>
      </c>
      <c r="C197" s="402"/>
      <c r="D197" s="402"/>
      <c r="E197" s="403"/>
    </row>
    <row r="198" spans="1:5" ht="18.75" customHeight="1" thickBot="1">
      <c r="A198" s="408"/>
      <c r="B198" s="404"/>
      <c r="C198" s="405"/>
      <c r="D198" s="405"/>
      <c r="E198" s="406"/>
    </row>
    <row r="199" spans="1:5" ht="15" thickBot="1">
      <c r="A199" s="49"/>
      <c r="B199" s="68"/>
      <c r="C199" s="68"/>
      <c r="D199" s="68"/>
      <c r="E199" s="68"/>
    </row>
    <row r="200" spans="1:5" ht="18">
      <c r="A200" s="388" t="s">
        <v>331</v>
      </c>
      <c r="B200" s="389"/>
      <c r="C200" s="389"/>
      <c r="D200" s="389"/>
      <c r="E200" s="390"/>
    </row>
    <row r="201" spans="1:5" ht="18.75">
      <c r="A201" s="4" t="s">
        <v>441</v>
      </c>
      <c r="B201" s="94" t="s">
        <v>417</v>
      </c>
      <c r="C201" s="111">
        <v>2.65</v>
      </c>
      <c r="D201" s="101" t="s">
        <v>36</v>
      </c>
      <c r="E201" s="102" t="s">
        <v>373</v>
      </c>
    </row>
    <row r="202" spans="1:5" ht="18.75">
      <c r="A202" s="4" t="s">
        <v>442</v>
      </c>
      <c r="B202" s="94" t="s">
        <v>443</v>
      </c>
      <c r="C202" s="111">
        <v>23</v>
      </c>
      <c r="D202" s="101" t="s">
        <v>10</v>
      </c>
      <c r="E202" s="102" t="s">
        <v>373</v>
      </c>
    </row>
    <row r="203" spans="1:5" ht="18.75">
      <c r="A203" s="4" t="s">
        <v>445</v>
      </c>
      <c r="B203" s="94" t="s">
        <v>444</v>
      </c>
      <c r="C203" s="111">
        <v>8.15</v>
      </c>
      <c r="D203" s="101" t="s">
        <v>10</v>
      </c>
      <c r="E203" s="102" t="s">
        <v>373</v>
      </c>
    </row>
    <row r="204" spans="1:5" ht="18.75">
      <c r="A204" s="4" t="s">
        <v>448</v>
      </c>
      <c r="B204" s="94" t="s">
        <v>449</v>
      </c>
      <c r="C204" s="21">
        <f>0.8*Psb_target*mW/(0.5*Lp*uH*(Ipp_fm^2))/kHz</f>
        <v>1.9940470303533386</v>
      </c>
      <c r="D204" s="313" t="s">
        <v>15</v>
      </c>
      <c r="E204" s="256"/>
    </row>
    <row r="205" spans="1:5" ht="18.75">
      <c r="A205" s="4" t="s">
        <v>456</v>
      </c>
      <c r="B205" s="94" t="s">
        <v>457</v>
      </c>
      <c r="C205" s="21">
        <v>20</v>
      </c>
      <c r="D205" s="313" t="s">
        <v>24</v>
      </c>
      <c r="E205" s="256"/>
    </row>
    <row r="206" spans="1:5" ht="18.75">
      <c r="A206" s="4" t="s">
        <v>450</v>
      </c>
      <c r="B206" s="94" t="s">
        <v>451</v>
      </c>
      <c r="C206" s="21">
        <f>Cvdd1</f>
        <v>1</v>
      </c>
      <c r="D206" s="313" t="s">
        <v>454</v>
      </c>
      <c r="E206" s="256"/>
    </row>
    <row r="207" spans="1:5" ht="18.75">
      <c r="A207" s="4" t="s">
        <v>467</v>
      </c>
      <c r="B207" s="94" t="s">
        <v>455</v>
      </c>
      <c r="C207" s="21">
        <f>'LOOKUP TABLES AND DROPDOWN LIST'!Q27</f>
        <v>6.8</v>
      </c>
      <c r="D207" s="313" t="s">
        <v>454</v>
      </c>
      <c r="E207" s="256"/>
    </row>
    <row r="208" spans="1:5" ht="18.75">
      <c r="A208" s="4" t="s">
        <v>465</v>
      </c>
      <c r="B208" s="94" t="s">
        <v>466</v>
      </c>
      <c r="C208" s="21">
        <f>'LOOKUP TABLES AND DROPDOWN LIST'!Q31</f>
        <v>1.5</v>
      </c>
      <c r="D208" s="313" t="s">
        <v>454</v>
      </c>
      <c r="E208" s="256"/>
    </row>
    <row r="209" spans="1:5" ht="19.5" thickBot="1">
      <c r="A209" s="5" t="s">
        <v>473</v>
      </c>
      <c r="B209" s="24" t="s">
        <v>468</v>
      </c>
      <c r="C209" s="26">
        <f>MAX(C206:C208)</f>
        <v>6.8</v>
      </c>
      <c r="D209" s="327" t="s">
        <v>454</v>
      </c>
      <c r="E209" s="329"/>
    </row>
    <row r="210" spans="1:5" ht="15" thickBot="1"/>
    <row r="211" spans="1:5" ht="15">
      <c r="A211" s="388" t="s">
        <v>329</v>
      </c>
      <c r="B211" s="389"/>
      <c r="C211" s="389"/>
      <c r="D211" s="389"/>
      <c r="E211" s="390"/>
    </row>
    <row r="212" spans="1:5" ht="18.75">
      <c r="A212" s="63" t="s">
        <v>479</v>
      </c>
      <c r="B212" s="220" t="s">
        <v>480</v>
      </c>
      <c r="C212" s="32">
        <f>'START HERE'!C86</f>
        <v>1.258</v>
      </c>
      <c r="D212" s="87" t="s">
        <v>10</v>
      </c>
      <c r="E212" s="233" t="s">
        <v>98</v>
      </c>
    </row>
    <row r="213" spans="1:5" ht="18.75">
      <c r="A213" s="63" t="s">
        <v>600</v>
      </c>
      <c r="B213" s="220" t="s">
        <v>482</v>
      </c>
      <c r="C213" s="32">
        <f>'START HERE'!C87</f>
        <v>0.5</v>
      </c>
      <c r="D213" s="87" t="s">
        <v>334</v>
      </c>
      <c r="E213" s="233" t="s">
        <v>98</v>
      </c>
    </row>
    <row r="214" spans="1:5" ht="18.75" customHeight="1">
      <c r="A214" s="409" t="s">
        <v>495</v>
      </c>
      <c r="B214" s="345" t="s">
        <v>486</v>
      </c>
      <c r="C214" s="410">
        <f>'LOOKUP TABLES AND DROPDOWN LIST'!H66</f>
        <v>178</v>
      </c>
      <c r="D214" s="266" t="s">
        <v>340</v>
      </c>
      <c r="E214" s="248"/>
    </row>
    <row r="215" spans="1:5">
      <c r="A215" s="409"/>
      <c r="B215" s="345"/>
      <c r="C215" s="410"/>
      <c r="D215" s="266"/>
      <c r="E215" s="248"/>
    </row>
    <row r="216" spans="1:5" ht="15" customHeight="1">
      <c r="A216" s="411" t="s">
        <v>496</v>
      </c>
      <c r="B216" s="412" t="s">
        <v>490</v>
      </c>
      <c r="C216" s="413">
        <f>IF('START HERE'!C89="","",'START HERE'!C89)</f>
        <v>178</v>
      </c>
      <c r="D216" s="414" t="s">
        <v>374</v>
      </c>
      <c r="E216" s="394" t="s">
        <v>98</v>
      </c>
    </row>
    <row r="217" spans="1:5" ht="15" customHeight="1">
      <c r="A217" s="411"/>
      <c r="B217" s="412"/>
      <c r="C217" s="413"/>
      <c r="D217" s="414"/>
      <c r="E217" s="394"/>
    </row>
    <row r="218" spans="1:5" ht="15.75" customHeight="1">
      <c r="A218" s="234" t="s">
        <v>494</v>
      </c>
      <c r="B218" s="215" t="s">
        <v>481</v>
      </c>
      <c r="C218" s="219">
        <f>IF(Rfb2_actual="",Rfb2_rcmd,Rfb2_actual)</f>
        <v>178</v>
      </c>
      <c r="D218" s="313" t="s">
        <v>374</v>
      </c>
      <c r="E218" s="256"/>
    </row>
    <row r="219" spans="1:5" ht="18.75" customHeight="1">
      <c r="A219" s="409" t="s">
        <v>506</v>
      </c>
      <c r="B219" s="345" t="s">
        <v>505</v>
      </c>
      <c r="C219" s="410">
        <f>'LOOKUP TABLES AND DROPDOWN LIST'!H69</f>
        <v>536</v>
      </c>
      <c r="D219" s="330" t="s">
        <v>374</v>
      </c>
      <c r="E219" s="279"/>
    </row>
    <row r="220" spans="1:5">
      <c r="A220" s="409"/>
      <c r="B220" s="345"/>
      <c r="C220" s="410"/>
      <c r="D220" s="433"/>
      <c r="E220" s="434"/>
    </row>
    <row r="221" spans="1:5" ht="18.75" customHeight="1">
      <c r="A221" s="461" t="s">
        <v>509</v>
      </c>
      <c r="B221" s="412" t="s">
        <v>508</v>
      </c>
      <c r="C221" s="413">
        <f>IF('START HERE'!C91="","",'START HERE'!C91)</f>
        <v>536</v>
      </c>
      <c r="D221" s="414" t="s">
        <v>374</v>
      </c>
      <c r="E221" s="394" t="s">
        <v>98</v>
      </c>
    </row>
    <row r="222" spans="1:5" ht="14.25" customHeight="1">
      <c r="A222" s="461"/>
      <c r="B222" s="412"/>
      <c r="C222" s="413"/>
      <c r="D222" s="414"/>
      <c r="E222" s="394"/>
    </row>
    <row r="223" spans="1:5" ht="18.75">
      <c r="A223" s="69" t="s">
        <v>514</v>
      </c>
      <c r="B223" s="215" t="s">
        <v>515</v>
      </c>
      <c r="C223" s="219">
        <f>((IF(Rfb1_actual="",Rfb1_rcmd,Rfb1_actual))+(Rinj/kOhms))</f>
        <v>536.02</v>
      </c>
      <c r="D223" s="313" t="s">
        <v>374</v>
      </c>
      <c r="E223" s="256"/>
    </row>
    <row r="224" spans="1:5" ht="18.75">
      <c r="A224" s="224" t="s">
        <v>717</v>
      </c>
      <c r="B224" s="220" t="s">
        <v>718</v>
      </c>
      <c r="C224" s="221">
        <v>20</v>
      </c>
      <c r="D224" s="110" t="s">
        <v>719</v>
      </c>
      <c r="E224" s="235" t="s">
        <v>720</v>
      </c>
    </row>
    <row r="225" spans="1:5" ht="16.5">
      <c r="A225" s="236" t="s">
        <v>516</v>
      </c>
      <c r="B225" s="78" t="s">
        <v>520</v>
      </c>
      <c r="C225" s="79">
        <f>(R_fb1*kOhms*(Vref431/(R_fb2*kOhms)))+Vref431</f>
        <v>5.0462761797752815</v>
      </c>
      <c r="D225" s="440" t="s">
        <v>10</v>
      </c>
      <c r="E225" s="441"/>
    </row>
    <row r="226" spans="1:5" ht="18.75" customHeight="1">
      <c r="A226" s="237" t="s">
        <v>533</v>
      </c>
      <c r="B226" s="220" t="s">
        <v>538</v>
      </c>
      <c r="C226" s="109">
        <v>50</v>
      </c>
      <c r="D226" s="232" t="s">
        <v>524</v>
      </c>
      <c r="E226" s="233" t="s">
        <v>98</v>
      </c>
    </row>
    <row r="227" spans="1:5" ht="14.25" customHeight="1">
      <c r="A227" s="25" t="s">
        <v>534</v>
      </c>
      <c r="B227" s="223" t="s">
        <v>539</v>
      </c>
      <c r="C227" s="221">
        <v>3</v>
      </c>
      <c r="D227" s="87" t="s">
        <v>523</v>
      </c>
      <c r="E227" s="233" t="s">
        <v>98</v>
      </c>
    </row>
    <row r="228" spans="1:5" ht="18.75">
      <c r="A228" s="25" t="s">
        <v>535</v>
      </c>
      <c r="B228" s="223" t="s">
        <v>540</v>
      </c>
      <c r="C228" s="221">
        <v>100</v>
      </c>
      <c r="D228" s="110" t="s">
        <v>48</v>
      </c>
      <c r="E228" s="233" t="s">
        <v>98</v>
      </c>
    </row>
    <row r="229" spans="1:5" ht="18.75" customHeight="1">
      <c r="A229" s="25" t="s">
        <v>536</v>
      </c>
      <c r="B229" s="220" t="s">
        <v>541</v>
      </c>
      <c r="C229" s="221">
        <v>80</v>
      </c>
      <c r="D229" s="87" t="s">
        <v>15</v>
      </c>
      <c r="E229" s="233" t="s">
        <v>98</v>
      </c>
    </row>
    <row r="230" spans="1:5" ht="18.75" customHeight="1">
      <c r="A230" s="25" t="s">
        <v>537</v>
      </c>
      <c r="B230" s="220" t="s">
        <v>542</v>
      </c>
      <c r="C230" s="221">
        <v>1.4</v>
      </c>
      <c r="D230" s="87" t="s">
        <v>10</v>
      </c>
      <c r="E230" s="233" t="s">
        <v>98</v>
      </c>
    </row>
    <row r="231" spans="1:5" ht="18.75">
      <c r="A231" s="4" t="s">
        <v>544</v>
      </c>
      <c r="B231" s="215" t="s">
        <v>545</v>
      </c>
      <c r="C231" s="21">
        <f>(tf_opto*us)/(2*PI()*Rl_opto)/nF</f>
        <v>4.7746482927568596</v>
      </c>
      <c r="D231" s="266" t="s">
        <v>547</v>
      </c>
      <c r="E231" s="248"/>
    </row>
    <row r="232" spans="1:5" ht="18.75">
      <c r="A232" s="4" t="s">
        <v>548</v>
      </c>
      <c r="B232" s="215" t="s">
        <v>549</v>
      </c>
      <c r="C232" s="219">
        <v>40</v>
      </c>
      <c r="D232" s="266" t="s">
        <v>340</v>
      </c>
      <c r="E232" s="248"/>
    </row>
    <row r="233" spans="1:5" ht="18.75" customHeight="1">
      <c r="A233" s="391" t="s">
        <v>555</v>
      </c>
      <c r="B233" s="345" t="s">
        <v>554</v>
      </c>
      <c r="C233" s="483">
        <v>0</v>
      </c>
      <c r="D233" s="266" t="s">
        <v>454</v>
      </c>
      <c r="E233" s="248"/>
    </row>
    <row r="234" spans="1:5" ht="18.75" customHeight="1">
      <c r="A234" s="391"/>
      <c r="B234" s="345"/>
      <c r="C234" s="483"/>
      <c r="D234" s="266"/>
      <c r="E234" s="248"/>
    </row>
    <row r="235" spans="1:5" ht="18.75">
      <c r="A235" s="25" t="s">
        <v>557</v>
      </c>
      <c r="B235" s="220" t="s">
        <v>556</v>
      </c>
      <c r="C235" s="32">
        <f>IF('START HERE'!C100="","",'START HERE'!C100)</f>
        <v>0</v>
      </c>
      <c r="D235" s="87" t="s">
        <v>454</v>
      </c>
      <c r="E235" s="233" t="s">
        <v>98</v>
      </c>
    </row>
    <row r="236" spans="1:5" ht="18.75">
      <c r="A236" s="4" t="s">
        <v>558</v>
      </c>
      <c r="B236" s="215" t="s">
        <v>559</v>
      </c>
      <c r="C236" s="219">
        <f>IF(Cext_actual="",Cext_rcmd,Cext_actual)</f>
        <v>0</v>
      </c>
      <c r="D236" s="266" t="s">
        <v>454</v>
      </c>
      <c r="E236" s="248"/>
    </row>
    <row r="237" spans="1:5" ht="18.75">
      <c r="A237" s="4" t="s">
        <v>561</v>
      </c>
      <c r="B237" s="215" t="s">
        <v>562</v>
      </c>
      <c r="C237" s="219">
        <f>'LOOKUP TABLES AND DROPDOWN LIST'!W23</f>
        <v>4.7E-2</v>
      </c>
      <c r="D237" s="313" t="s">
        <v>454</v>
      </c>
      <c r="E237" s="256"/>
    </row>
    <row r="238" spans="1:5" ht="18.75">
      <c r="A238" s="25" t="s">
        <v>565</v>
      </c>
      <c r="B238" s="220" t="s">
        <v>566</v>
      </c>
      <c r="C238" s="32">
        <f>IF('START HERE'!C102="","",'START HERE'!C102)</f>
        <v>4.7E-2</v>
      </c>
      <c r="D238" s="87" t="s">
        <v>454</v>
      </c>
      <c r="E238" s="233" t="s">
        <v>98</v>
      </c>
    </row>
    <row r="239" spans="1:5" ht="18.75">
      <c r="A239" s="4" t="s">
        <v>754</v>
      </c>
      <c r="B239" s="215" t="s">
        <v>755</v>
      </c>
      <c r="C239" s="219">
        <f>IF(Cfb_actual="",Cfb_rcmd,Cfb_actual)</f>
        <v>4.7E-2</v>
      </c>
      <c r="D239" s="217"/>
      <c r="E239" s="214"/>
    </row>
    <row r="240" spans="1:5" ht="18.75">
      <c r="A240" s="4" t="s">
        <v>571</v>
      </c>
      <c r="B240" s="215" t="s">
        <v>570</v>
      </c>
      <c r="C240" s="219">
        <v>22</v>
      </c>
      <c r="D240" s="313" t="s">
        <v>340</v>
      </c>
      <c r="E240" s="256"/>
    </row>
    <row r="241" spans="1:5" ht="18.75">
      <c r="A241" s="25" t="s">
        <v>572</v>
      </c>
      <c r="B241" s="220" t="s">
        <v>573</v>
      </c>
      <c r="C241" s="32">
        <f>IF('START HERE'!C104="","",'START HERE'!C104)</f>
        <v>21.4</v>
      </c>
      <c r="D241" s="87" t="s">
        <v>340</v>
      </c>
      <c r="E241" s="233" t="s">
        <v>98</v>
      </c>
    </row>
    <row r="242" spans="1:5" ht="18.75">
      <c r="A242" s="4" t="s">
        <v>578</v>
      </c>
      <c r="B242" s="215" t="s">
        <v>577</v>
      </c>
      <c r="C242" s="219">
        <f>IF(R_fb4_actual="",R_fb4_rcmd,R_fb4_actual)</f>
        <v>21.4</v>
      </c>
      <c r="D242" s="266" t="s">
        <v>340</v>
      </c>
      <c r="E242" s="248"/>
    </row>
    <row r="243" spans="1:5" ht="18.75">
      <c r="A243" s="4" t="s">
        <v>579</v>
      </c>
      <c r="B243" s="215" t="s">
        <v>580</v>
      </c>
      <c r="C243" s="21">
        <f>(R_fb4*kOhms)/((R_fb4*kOhms)+(Requ*kOhms))</f>
        <v>0.34853420195439738</v>
      </c>
      <c r="D243" s="266"/>
      <c r="E243" s="248"/>
    </row>
    <row r="244" spans="1:5" ht="18.75">
      <c r="A244" s="4" t="s">
        <v>581</v>
      </c>
      <c r="B244" s="215" t="s">
        <v>582</v>
      </c>
      <c r="C244" s="219">
        <f>480*kOhms/(-2.5)/kOhms</f>
        <v>-192</v>
      </c>
      <c r="D244" s="313" t="s">
        <v>340</v>
      </c>
      <c r="E244" s="256"/>
    </row>
    <row r="245" spans="1:5" ht="18.75">
      <c r="A245" s="4" t="s">
        <v>583</v>
      </c>
      <c r="B245" s="215" t="s">
        <v>584</v>
      </c>
      <c r="C245" s="219">
        <v>50.4</v>
      </c>
      <c r="D245" s="313" t="s">
        <v>585</v>
      </c>
      <c r="E245" s="256"/>
    </row>
    <row r="246" spans="1:5" ht="18.75">
      <c r="A246" s="4" t="s">
        <v>586</v>
      </c>
      <c r="B246" s="215" t="s">
        <v>587</v>
      </c>
      <c r="C246" s="21">
        <f>((Pout/(fmax*kHz))*((Ipp_nom/Ipp_nom)^2)*(1/Vout_cv))/uC</f>
        <v>22.303993619127251</v>
      </c>
      <c r="D246" s="266" t="s">
        <v>589</v>
      </c>
      <c r="E246" s="248"/>
    </row>
    <row r="247" spans="1:5" ht="18.75">
      <c r="A247" s="4" t="s">
        <v>603</v>
      </c>
      <c r="B247" s="215" t="s">
        <v>604</v>
      </c>
      <c r="C247" s="219">
        <v>1.5</v>
      </c>
      <c r="D247" s="266" t="s">
        <v>340</v>
      </c>
      <c r="E247" s="248"/>
    </row>
    <row r="248" spans="1:5" ht="18.75">
      <c r="A248" s="25" t="s">
        <v>606</v>
      </c>
      <c r="B248" s="220" t="s">
        <v>605</v>
      </c>
      <c r="C248" s="32">
        <f>IF('START HERE'!C106="","",'START HERE'!C106)</f>
        <v>1.5</v>
      </c>
      <c r="D248" s="87" t="s">
        <v>340</v>
      </c>
      <c r="E248" s="233" t="s">
        <v>98</v>
      </c>
    </row>
    <row r="249" spans="1:5" ht="18.75">
      <c r="A249" s="4" t="s">
        <v>607</v>
      </c>
      <c r="B249" s="215" t="s">
        <v>608</v>
      </c>
      <c r="C249" s="219">
        <f>IF(Rtl_actual="",Rtl_rcmd,Rtl_actual)</f>
        <v>1.5</v>
      </c>
      <c r="D249" s="313" t="s">
        <v>340</v>
      </c>
      <c r="E249" s="256"/>
    </row>
    <row r="250" spans="1:5" ht="18.75">
      <c r="A250" s="4" t="s">
        <v>615</v>
      </c>
      <c r="B250" s="215" t="s">
        <v>616</v>
      </c>
      <c r="C250" s="219">
        <f>'LOOKUP TABLES AND DROPDOWN LIST'!W82</f>
        <v>270</v>
      </c>
      <c r="D250" s="266" t="s">
        <v>28</v>
      </c>
      <c r="E250" s="248"/>
    </row>
    <row r="251" spans="1:5" ht="18.75">
      <c r="A251" s="25" t="s">
        <v>618</v>
      </c>
      <c r="B251" s="220" t="s">
        <v>617</v>
      </c>
      <c r="C251" s="32">
        <f>IF('START HERE'!C108="","",'START HERE'!C108)</f>
        <v>270</v>
      </c>
      <c r="D251" s="222" t="s">
        <v>28</v>
      </c>
      <c r="E251" s="226" t="s">
        <v>98</v>
      </c>
    </row>
    <row r="252" spans="1:5" ht="19.5" thickBot="1">
      <c r="A252" s="5" t="s">
        <v>756</v>
      </c>
      <c r="B252" s="24" t="s">
        <v>757</v>
      </c>
      <c r="C252" s="14">
        <f>IF(Cz_actual="",Cz_rcmd,Cz_actual)</f>
        <v>270</v>
      </c>
      <c r="D252" s="327" t="s">
        <v>28</v>
      </c>
      <c r="E252" s="329"/>
    </row>
    <row r="253" spans="1:5" ht="15">
      <c r="A253" s="112"/>
      <c r="B253" s="1"/>
    </row>
    <row r="254" spans="1:5" ht="15">
      <c r="A254" s="112"/>
    </row>
    <row r="255" spans="1:5" ht="15">
      <c r="A255" s="112"/>
    </row>
    <row r="256" spans="1:5" ht="15">
      <c r="A256" s="112"/>
    </row>
    <row r="257" spans="1:1" ht="15">
      <c r="A257" s="112"/>
    </row>
  </sheetData>
  <sheetProtection password="EFDD" sheet="1" objects="1" scenarios="1"/>
  <mergeCells count="203">
    <mergeCell ref="D252:E252"/>
    <mergeCell ref="D225:E225"/>
    <mergeCell ref="D249:E249"/>
    <mergeCell ref="D250:E250"/>
    <mergeCell ref="D236:E236"/>
    <mergeCell ref="D237:E237"/>
    <mergeCell ref="D242:E242"/>
    <mergeCell ref="D243:E243"/>
    <mergeCell ref="D244:E244"/>
    <mergeCell ref="D245:E245"/>
    <mergeCell ref="D246:E246"/>
    <mergeCell ref="D240:E240"/>
    <mergeCell ref="D247:E247"/>
    <mergeCell ref="A32:E32"/>
    <mergeCell ref="D54:E54"/>
    <mergeCell ref="D231:E231"/>
    <mergeCell ref="A233:A234"/>
    <mergeCell ref="B233:B234"/>
    <mergeCell ref="C233:C234"/>
    <mergeCell ref="D232:E232"/>
    <mergeCell ref="D233:E234"/>
    <mergeCell ref="A200:E200"/>
    <mergeCell ref="D193:E193"/>
    <mergeCell ref="D154:E154"/>
    <mergeCell ref="D187:E187"/>
    <mergeCell ref="D189:E189"/>
    <mergeCell ref="A191:E191"/>
    <mergeCell ref="D194:E194"/>
    <mergeCell ref="D208:E208"/>
    <mergeCell ref="D209:E209"/>
    <mergeCell ref="A221:A222"/>
    <mergeCell ref="B221:B222"/>
    <mergeCell ref="C221:C222"/>
    <mergeCell ref="D81:E81"/>
    <mergeCell ref="D83:E83"/>
    <mergeCell ref="D223:E223"/>
    <mergeCell ref="D221:D222"/>
    <mergeCell ref="E221:E222"/>
    <mergeCell ref="D219:E220"/>
    <mergeCell ref="A35:E35"/>
    <mergeCell ref="D38:E38"/>
    <mergeCell ref="A34:E34"/>
    <mergeCell ref="D39:E39"/>
    <mergeCell ref="D40:E40"/>
    <mergeCell ref="A53:E53"/>
    <mergeCell ref="A42:E42"/>
    <mergeCell ref="A43:E43"/>
    <mergeCell ref="D45:E45"/>
    <mergeCell ref="A47:E47"/>
    <mergeCell ref="D48:E48"/>
    <mergeCell ref="D49:E49"/>
    <mergeCell ref="D51:E51"/>
    <mergeCell ref="D44:E44"/>
    <mergeCell ref="D113:E113"/>
    <mergeCell ref="D66:E66"/>
    <mergeCell ref="D67:E67"/>
    <mergeCell ref="D41:E41"/>
    <mergeCell ref="D65:E65"/>
    <mergeCell ref="D105:E105"/>
    <mergeCell ref="A69:E69"/>
    <mergeCell ref="D177:E177"/>
    <mergeCell ref="A3:E3"/>
    <mergeCell ref="D10:E10"/>
    <mergeCell ref="D11:E11"/>
    <mergeCell ref="A1:E1"/>
    <mergeCell ref="A2:E2"/>
    <mergeCell ref="D12:E12"/>
    <mergeCell ref="D13:E13"/>
    <mergeCell ref="D14:E14"/>
    <mergeCell ref="E4:E9"/>
    <mergeCell ref="C4:D4"/>
    <mergeCell ref="A15:E15"/>
    <mergeCell ref="D29:E29"/>
    <mergeCell ref="D30:E30"/>
    <mergeCell ref="D31:E31"/>
    <mergeCell ref="A19:A20"/>
    <mergeCell ref="C19:C20"/>
    <mergeCell ref="D19:D20"/>
    <mergeCell ref="A21:A22"/>
    <mergeCell ref="C21:C22"/>
    <mergeCell ref="D21:D22"/>
    <mergeCell ref="B19:B20"/>
    <mergeCell ref="B21:B22"/>
    <mergeCell ref="A25:A26"/>
    <mergeCell ref="B25:B26"/>
    <mergeCell ref="C25:C26"/>
    <mergeCell ref="D25:D26"/>
    <mergeCell ref="E16:E28"/>
    <mergeCell ref="A33:E33"/>
    <mergeCell ref="D36:E36"/>
    <mergeCell ref="D55:E55"/>
    <mergeCell ref="A168:A169"/>
    <mergeCell ref="B168:B169"/>
    <mergeCell ref="C168:C169"/>
    <mergeCell ref="D168:E169"/>
    <mergeCell ref="D151:E152"/>
    <mergeCell ref="D155:E155"/>
    <mergeCell ref="D158:E158"/>
    <mergeCell ref="D159:E159"/>
    <mergeCell ref="D156:E156"/>
    <mergeCell ref="B151:B152"/>
    <mergeCell ref="C151:C152"/>
    <mergeCell ref="B149:B150"/>
    <mergeCell ref="C149:C150"/>
    <mergeCell ref="A161:E161"/>
    <mergeCell ref="D57:E57"/>
    <mergeCell ref="D59:E59"/>
    <mergeCell ref="D60:E60"/>
    <mergeCell ref="D61:E61"/>
    <mergeCell ref="D63:E63"/>
    <mergeCell ref="D64:E64"/>
    <mergeCell ref="E86:E87"/>
    <mergeCell ref="D74:E74"/>
    <mergeCell ref="D76:E76"/>
    <mergeCell ref="D129:E129"/>
    <mergeCell ref="E118:E123"/>
    <mergeCell ref="D77:E77"/>
    <mergeCell ref="D98:E98"/>
    <mergeCell ref="D99:E99"/>
    <mergeCell ref="D100:E100"/>
    <mergeCell ref="D101:E101"/>
    <mergeCell ref="D102:E102"/>
    <mergeCell ref="A90:E90"/>
    <mergeCell ref="D117:E117"/>
    <mergeCell ref="D82:E82"/>
    <mergeCell ref="D85:E85"/>
    <mergeCell ref="D91:E91"/>
    <mergeCell ref="A86:A87"/>
    <mergeCell ref="B86:B87"/>
    <mergeCell ref="C86:C87"/>
    <mergeCell ref="D86:D87"/>
    <mergeCell ref="D107:E107"/>
    <mergeCell ref="D108:E108"/>
    <mergeCell ref="D106:E106"/>
    <mergeCell ref="D139:E139"/>
    <mergeCell ref="D196:E196"/>
    <mergeCell ref="D143:E143"/>
    <mergeCell ref="D137:E137"/>
    <mergeCell ref="D132:E132"/>
    <mergeCell ref="D133:E133"/>
    <mergeCell ref="A135:E135"/>
    <mergeCell ref="A141:E141"/>
    <mergeCell ref="D138:E138"/>
    <mergeCell ref="D174:E174"/>
    <mergeCell ref="D175:E175"/>
    <mergeCell ref="D176:E176"/>
    <mergeCell ref="D178:E178"/>
    <mergeCell ref="A170:A171"/>
    <mergeCell ref="B170:B171"/>
    <mergeCell ref="D131:E131"/>
    <mergeCell ref="D94:E94"/>
    <mergeCell ref="D96:E96"/>
    <mergeCell ref="D97:E97"/>
    <mergeCell ref="D173:E173"/>
    <mergeCell ref="E149:E150"/>
    <mergeCell ref="D149:D150"/>
    <mergeCell ref="C170:C171"/>
    <mergeCell ref="A149:A150"/>
    <mergeCell ref="A151:A152"/>
    <mergeCell ref="A145:E145"/>
    <mergeCell ref="A148:E148"/>
    <mergeCell ref="D110:E110"/>
    <mergeCell ref="D114:E114"/>
    <mergeCell ref="D128:E128"/>
    <mergeCell ref="D127:E127"/>
    <mergeCell ref="A116:E116"/>
    <mergeCell ref="D130:E130"/>
    <mergeCell ref="D125:E125"/>
    <mergeCell ref="D124:E124"/>
    <mergeCell ref="D126:E126"/>
    <mergeCell ref="D172:E172"/>
    <mergeCell ref="D170:D171"/>
    <mergeCell ref="E170:E171"/>
    <mergeCell ref="A219:A220"/>
    <mergeCell ref="B219:B220"/>
    <mergeCell ref="C219:C220"/>
    <mergeCell ref="A214:A215"/>
    <mergeCell ref="B214:B215"/>
    <mergeCell ref="C214:C215"/>
    <mergeCell ref="D214:E215"/>
    <mergeCell ref="A216:A217"/>
    <mergeCell ref="B216:B217"/>
    <mergeCell ref="C216:C217"/>
    <mergeCell ref="D216:D217"/>
    <mergeCell ref="E216:E217"/>
    <mergeCell ref="A211:E211"/>
    <mergeCell ref="D218:E218"/>
    <mergeCell ref="A182:A183"/>
    <mergeCell ref="B182:B183"/>
    <mergeCell ref="C182:C183"/>
    <mergeCell ref="D182:E183"/>
    <mergeCell ref="A184:A185"/>
    <mergeCell ref="E184:E185"/>
    <mergeCell ref="D186:E186"/>
    <mergeCell ref="B184:B185"/>
    <mergeCell ref="C184:C185"/>
    <mergeCell ref="D184:D185"/>
    <mergeCell ref="D204:E204"/>
    <mergeCell ref="D205:E205"/>
    <mergeCell ref="D206:E206"/>
    <mergeCell ref="D207:E207"/>
    <mergeCell ref="B197:E198"/>
    <mergeCell ref="A197:A198"/>
  </mergeCells>
  <phoneticPr fontId="39" type="noConversion"/>
  <pageMargins left="0.7" right="0.7" top="0.75" bottom="0.75" header="0.3" footer="0.3"/>
  <pageSetup scale="60"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29"/>
  <sheetViews>
    <sheetView workbookViewId="0">
      <selection activeCell="G63" sqref="G63"/>
    </sheetView>
  </sheetViews>
  <sheetFormatPr defaultColWidth="9.140625" defaultRowHeight="14.25"/>
  <cols>
    <col min="1" max="1" width="11.85546875" style="123" customWidth="1"/>
    <col min="2" max="2" width="10.7109375" style="123" customWidth="1"/>
    <col min="3" max="3" width="9.140625" style="123"/>
    <col min="4" max="4" width="46.28515625" style="123" customWidth="1"/>
    <col min="5" max="6" width="9.28515625" style="123" bestFit="1" customWidth="1"/>
    <col min="7" max="7" width="45.7109375" style="123" customWidth="1"/>
    <col min="8" max="8" width="9.140625" style="123"/>
    <col min="9" max="9" width="18.85546875" style="123" customWidth="1"/>
    <col min="10" max="10" width="43.85546875" style="123" customWidth="1"/>
    <col min="11" max="12" width="9.140625" style="123"/>
    <col min="13" max="13" width="10.140625" style="123" bestFit="1" customWidth="1"/>
    <col min="14" max="15" width="9.140625" style="123"/>
    <col min="16" max="16" width="13.7109375" style="123" bestFit="1" customWidth="1"/>
    <col min="17" max="17" width="9.140625" style="123"/>
    <col min="18" max="18" width="9.28515625" style="123" bestFit="1" customWidth="1"/>
    <col min="19" max="19" width="9.140625" style="123"/>
    <col min="20" max="20" width="11.28515625" style="123" bestFit="1" customWidth="1"/>
    <col min="21" max="22" width="9.140625" style="123"/>
    <col min="23" max="23" width="9.28515625" style="123" bestFit="1" customWidth="1"/>
    <col min="24" max="16384" width="9.140625" style="123"/>
  </cols>
  <sheetData>
    <row r="1" spans="1:5" ht="18.75" customHeight="1">
      <c r="A1" s="484" t="s">
        <v>6</v>
      </c>
      <c r="B1" s="122" t="s">
        <v>7</v>
      </c>
      <c r="D1" s="122" t="s">
        <v>217</v>
      </c>
      <c r="E1" s="122">
        <f>100*kHz</f>
        <v>100000</v>
      </c>
    </row>
    <row r="2" spans="1:5" ht="18.75">
      <c r="A2" s="485"/>
      <c r="B2" s="122" t="s">
        <v>8</v>
      </c>
      <c r="D2" s="122" t="s">
        <v>218</v>
      </c>
      <c r="E2" s="122">
        <v>170</v>
      </c>
    </row>
    <row r="3" spans="1:5">
      <c r="A3" s="128"/>
    </row>
    <row r="4" spans="1:5">
      <c r="A4" s="122" t="s">
        <v>42</v>
      </c>
      <c r="B4" s="124">
        <f>10^-3</f>
        <v>1E-3</v>
      </c>
    </row>
    <row r="5" spans="1:5">
      <c r="A5" s="122" t="s">
        <v>43</v>
      </c>
      <c r="B5" s="124">
        <f>(10^-6)</f>
        <v>9.9999999999999995E-7</v>
      </c>
    </row>
    <row r="6" spans="1:5">
      <c r="A6" s="122" t="s">
        <v>44</v>
      </c>
      <c r="B6" s="124">
        <f>10^3</f>
        <v>1000</v>
      </c>
    </row>
    <row r="7" spans="1:5">
      <c r="A7" s="122" t="s">
        <v>59</v>
      </c>
      <c r="B7" s="124">
        <f>10^-3</f>
        <v>1E-3</v>
      </c>
    </row>
    <row r="8" spans="1:5">
      <c r="A8" s="122" t="s">
        <v>45</v>
      </c>
      <c r="B8" s="124">
        <f>10^-3</f>
        <v>1E-3</v>
      </c>
    </row>
    <row r="9" spans="1:5">
      <c r="A9" s="122" t="s">
        <v>46</v>
      </c>
      <c r="B9" s="124">
        <f>10^-3</f>
        <v>1E-3</v>
      </c>
    </row>
    <row r="10" spans="1:5">
      <c r="A10" s="122" t="s">
        <v>47</v>
      </c>
      <c r="B10" s="124">
        <f>10^-6</f>
        <v>9.9999999999999995E-7</v>
      </c>
    </row>
    <row r="11" spans="1:5">
      <c r="A11" s="122" t="s">
        <v>49</v>
      </c>
      <c r="B11" s="124">
        <f>10^-6</f>
        <v>9.9999999999999995E-7</v>
      </c>
    </row>
    <row r="12" spans="1:5">
      <c r="A12" s="122" t="s">
        <v>51</v>
      </c>
      <c r="B12" s="124">
        <f>10^-9</f>
        <v>1.0000000000000001E-9</v>
      </c>
    </row>
    <row r="13" spans="1:5">
      <c r="A13" s="122" t="s">
        <v>112</v>
      </c>
      <c r="B13" s="124">
        <f>10^-3</f>
        <v>1E-3</v>
      </c>
    </row>
    <row r="14" spans="1:5">
      <c r="A14" s="122" t="s">
        <v>242</v>
      </c>
      <c r="B14" s="124">
        <f>10^-12</f>
        <v>9.9999999999999998E-13</v>
      </c>
    </row>
    <row r="15" spans="1:5">
      <c r="A15" s="122" t="s">
        <v>264</v>
      </c>
      <c r="B15" s="124">
        <f>10^6</f>
        <v>1000000</v>
      </c>
    </row>
    <row r="16" spans="1:5">
      <c r="A16" s="122" t="s">
        <v>338</v>
      </c>
      <c r="B16" s="124">
        <f>10^-6</f>
        <v>9.9999999999999995E-7</v>
      </c>
    </row>
    <row r="17" spans="1:25" ht="15">
      <c r="A17" s="122" t="s">
        <v>339</v>
      </c>
      <c r="B17" s="124">
        <f>10^3</f>
        <v>1000</v>
      </c>
    </row>
    <row r="18" spans="1:25">
      <c r="A18" s="122" t="s">
        <v>420</v>
      </c>
      <c r="B18" s="124">
        <f>10^-9</f>
        <v>1.0000000000000001E-9</v>
      </c>
    </row>
    <row r="19" spans="1:25">
      <c r="A19" s="122" t="s">
        <v>546</v>
      </c>
      <c r="B19" s="124">
        <f>10^-9</f>
        <v>1.0000000000000001E-9</v>
      </c>
    </row>
    <row r="20" spans="1:25">
      <c r="A20" s="122" t="s">
        <v>588</v>
      </c>
      <c r="B20" s="124">
        <f>10^-6</f>
        <v>9.9999999999999995E-7</v>
      </c>
    </row>
    <row r="21" spans="1:25" ht="18.75">
      <c r="I21" s="123" t="s">
        <v>60</v>
      </c>
      <c r="P21" s="487" t="s">
        <v>469</v>
      </c>
      <c r="Q21" s="487"/>
      <c r="S21" s="487" t="s">
        <v>474</v>
      </c>
      <c r="T21" s="487"/>
      <c r="V21" s="487" t="s">
        <v>563</v>
      </c>
      <c r="W21" s="487"/>
      <c r="X21" s="487"/>
      <c r="Y21" s="487"/>
    </row>
    <row r="22" spans="1:25" ht="18.75">
      <c r="A22" s="486" t="s">
        <v>19</v>
      </c>
      <c r="B22" s="486"/>
      <c r="C22" s="486"/>
      <c r="E22" s="487" t="s">
        <v>20</v>
      </c>
      <c r="F22" s="487"/>
      <c r="G22" s="487"/>
      <c r="I22" s="123" t="s">
        <v>61</v>
      </c>
      <c r="J22" s="200">
        <f>Cbulk_rcmd</f>
        <v>5.827913998898107</v>
      </c>
      <c r="K22" s="123" t="s">
        <v>23</v>
      </c>
      <c r="L22" s="123" t="s">
        <v>29</v>
      </c>
      <c r="P22" s="123" t="s">
        <v>470</v>
      </c>
      <c r="Q22" s="123">
        <f>((Irun*mA+(Qg*nC*fmax*kHz))*(Cout*uF*Vout_cc/Iocc))/(VDDon-(VDDoff_max+1))*10^12</f>
        <v>940627.09522461379</v>
      </c>
      <c r="R22" s="123" t="s">
        <v>28</v>
      </c>
      <c r="S22" s="123" t="s">
        <v>475</v>
      </c>
      <c r="T22" s="123">
        <f>(ton_max*us*Iocc)/(0.2*Vripple_target*mV)*10^12</f>
        <v>617166098.31003773</v>
      </c>
      <c r="U22" s="123" t="s">
        <v>28</v>
      </c>
      <c r="V22" s="123" t="s">
        <v>564</v>
      </c>
      <c r="W22" s="123">
        <f>(10*Copto*nF)*10^12</f>
        <v>47746.482927568592</v>
      </c>
      <c r="X22" s="123" t="s">
        <v>28</v>
      </c>
    </row>
    <row r="23" spans="1:25">
      <c r="A23" s="125">
        <v>100</v>
      </c>
      <c r="B23" s="125">
        <v>105</v>
      </c>
      <c r="E23" s="487" t="s">
        <v>21</v>
      </c>
      <c r="F23" s="487"/>
      <c r="G23" s="487"/>
      <c r="Q23" s="123">
        <f>(IF(Q22&lt;10000,Q24*10^INT(LOG(Q22)),Q25*10^INT(LOG(Q22))))*10^-6</f>
        <v>1</v>
      </c>
      <c r="R23" s="123" t="s">
        <v>23</v>
      </c>
      <c r="T23" s="123">
        <f>(IF(T22&lt;10000,T24*10^INT(LOG(T22)),T25*10^INT(LOG(T22))))*10^-6</f>
        <v>680</v>
      </c>
      <c r="U23" s="123" t="s">
        <v>23</v>
      </c>
      <c r="W23" s="123">
        <f>(IF(W22&lt;10000,W24*10^INT(LOG(W22)),W25*10^INT(LOG(W22))))*10^-6</f>
        <v>4.7E-2</v>
      </c>
      <c r="X23" s="123" t="s">
        <v>23</v>
      </c>
    </row>
    <row r="24" spans="1:25">
      <c r="A24" s="125">
        <v>105</v>
      </c>
      <c r="B24" s="125">
        <v>110</v>
      </c>
      <c r="E24" s="123">
        <v>1</v>
      </c>
      <c r="F24" s="123">
        <v>1.2</v>
      </c>
      <c r="Q24" s="123">
        <f>IF((10^(LOG(Q22)-INT(LOG(Q22))))-VLOOKUP((10^(LOG(Q22)-INT(LOG(Q22)))),C_s1:C_f1,1)&lt;VLOOKUP((10^(LOG(Q22)-INT(LOG(Q22)))),C_s1:C_f1,2)-(10^(LOG(Q22)-INT(LOG(Q22)))),VLOOKUP((10^(LOG(Q22)-INT(LOG(Q22)))),C_s1:C_f1,1),VLOOKUP((10^(LOG(Q22)-INT(LOG(Q22)))),C_s1:C_f1,2))</f>
        <v>10</v>
      </c>
      <c r="T24" s="123">
        <f>IF((10^(LOG(T22)-INT(LOG(T22))))-VLOOKUP((10^(LOG(T22)-INT(LOG(T22)))),C_s1:C_f1,1)&lt;VLOOKUP((10^(LOG(T22)-INT(LOG(T22)))),C_s1:C_f1,2)-(10^(LOG(T22)-INT(LOG(T22)))),VLOOKUP((10^(LOG(T22)-INT(LOG(T22)))),C_s1:C_f1,1),VLOOKUP((10^(LOG(T22)-INT(LOG(T22)))),C_s1:C_f1,2))</f>
        <v>5.6</v>
      </c>
      <c r="W24" s="123">
        <f>IF((10^(LOG(W22)-INT(LOG(W22))))-VLOOKUP((10^(LOG(W22)-INT(LOG(W22)))),C_s1:C_f1,1)&lt;VLOOKUP((10^(LOG(W22)-INT(LOG(W22)))),C_s1:C_f1,2)-(10^(LOG(W22)-INT(LOG(W22)))),VLOOKUP((10^(LOG(W22)-INT(LOG(W22)))),C_s1:C_f1,1),VLOOKUP((10^(LOG(W22)-INT(LOG(W22)))),C_s1:C_f1,2))</f>
        <v>4.7</v>
      </c>
    </row>
    <row r="25" spans="1:25">
      <c r="A25" s="125">
        <v>110</v>
      </c>
      <c r="B25" s="125">
        <v>115</v>
      </c>
      <c r="E25" s="123">
        <v>1.2</v>
      </c>
      <c r="F25" s="123">
        <v>1.5</v>
      </c>
      <c r="Q25" s="123">
        <f>IF((10^(LOG(Q22)-INT(LOG(Q22))))-VLOOKUP((10^(LOG(Q22)-INT(LOG(Q22)))),C_s2:C_f2,1)&lt;VLOOKUP((10^(LOG(Q22)-INT(LOG(Q22)))),C_s2:C_f2,2)-(10^(LOG(Q22)-INT(LOG(Q22)))),VLOOKUP((10^(LOG(Q22)-INT(LOG(Q22)))),C_s2:C_f2,1),VLOOKUP((10^(LOG(Q22)-INT(LOG(Q22)))),C_s2:C_f2,2))</f>
        <v>10</v>
      </c>
      <c r="T25" s="123">
        <f>IF((10^(LOG(T22)-INT(LOG(T22))))-VLOOKUP((10^(LOG(T22)-INT(LOG(T22)))),C_s2:C_f2,1)&lt;VLOOKUP((10^(LOG(T22)-INT(LOG(T22)))),C_s2:C_f2,2)-(10^(LOG(T22)-INT(LOG(T22)))),VLOOKUP((10^(LOG(T22)-INT(LOG(T22)))),C_s2:C_f2,1),VLOOKUP((10^(LOG(T22)-INT(LOG(T22)))),C_s2:C_f2,2))</f>
        <v>6.8</v>
      </c>
      <c r="W25" s="123">
        <f>IF((10^(LOG(W22)-INT(LOG(W22))))-VLOOKUP((10^(LOG(W22)-INT(LOG(W22)))),C_s2:C_f2,1)&lt;VLOOKUP((10^(LOG(W22)-INT(LOG(W22)))),C_s2:C_f2,2)-(10^(LOG(W22)-INT(LOG(W22)))),VLOOKUP((10^(LOG(W22)-INT(LOG(W22)))),C_s2:C_f2,1),VLOOKUP((10^(LOG(W22)-INT(LOG(W22)))),C_s2:C_f2,2))</f>
        <v>4.7</v>
      </c>
    </row>
    <row r="26" spans="1:25" ht="18.75">
      <c r="A26" s="125">
        <v>115</v>
      </c>
      <c r="B26" s="125">
        <v>121</v>
      </c>
      <c r="E26" s="123">
        <v>1.5</v>
      </c>
      <c r="F26" s="123">
        <v>1.8</v>
      </c>
      <c r="P26" s="123" t="s">
        <v>471</v>
      </c>
      <c r="Q26" s="123">
        <f>((2*(Irun*mA+Qg*nC)*(tov*ms))/((VDD*1.5)-(VDDoff+1)))*10^12</f>
        <v>8241569.0742285242</v>
      </c>
      <c r="R26" s="123" t="s">
        <v>28</v>
      </c>
    </row>
    <row r="27" spans="1:25">
      <c r="A27" s="125">
        <v>121</v>
      </c>
      <c r="B27" s="125">
        <v>127</v>
      </c>
      <c r="E27" s="123">
        <v>1.8</v>
      </c>
      <c r="F27" s="123">
        <v>2.2000000000000002</v>
      </c>
      <c r="I27" s="489" t="s">
        <v>30</v>
      </c>
      <c r="J27" s="489"/>
      <c r="K27" s="489"/>
      <c r="Q27" s="123">
        <f>(IF(Q26&lt;10000,Q28*10^INT(LOG(Q26)),Q29*10^INT(LOG(Q26))))*10^-6</f>
        <v>6.8</v>
      </c>
      <c r="R27" s="123" t="s">
        <v>23</v>
      </c>
    </row>
    <row r="28" spans="1:25">
      <c r="A28" s="125">
        <v>127</v>
      </c>
      <c r="B28" s="125">
        <v>133</v>
      </c>
      <c r="E28" s="123">
        <v>2.2000000000000002</v>
      </c>
      <c r="F28" s="123">
        <v>2.7</v>
      </c>
      <c r="I28" s="489" t="s">
        <v>34</v>
      </c>
      <c r="J28" s="489"/>
      <c r="K28" s="489"/>
      <c r="Q28" s="123">
        <f>IF((10^(LOG(Q26)-INT(LOG(Q26))))-VLOOKUP((10^(LOG(Q26)-INT(LOG(Q26)))),C_s1:C_f1,1)&lt;VLOOKUP((10^(LOG(Q26)-INT(LOG(Q26)))),C_s1:C_f1,2)-(10^(LOG(Q26)-INT(LOG(Q26)))),VLOOKUP((10^(LOG(Q26)-INT(LOG(Q26)))),C_s1:C_f1,1),VLOOKUP((10^(LOG(Q26)-INT(LOG(Q26)))),C_s1:C_f1,2))</f>
        <v>8.1999999999999993</v>
      </c>
    </row>
    <row r="29" spans="1:25" ht="18.75">
      <c r="A29" s="125">
        <v>133</v>
      </c>
      <c r="B29" s="125">
        <v>140</v>
      </c>
      <c r="E29" s="123">
        <v>2.7</v>
      </c>
      <c r="F29" s="123">
        <v>3.3</v>
      </c>
      <c r="I29" s="123" t="s">
        <v>62</v>
      </c>
      <c r="J29" s="123">
        <f>(1/fline_min)/(2*PI())*ASIN((Vbulkvalley_desired)/Vbulk_min)</f>
        <v>1.851979063104469E-3</v>
      </c>
      <c r="K29" s="123" t="s">
        <v>31</v>
      </c>
      <c r="Q29" s="123">
        <f>IF((10^(LOG(Q26)-INT(LOG(Q26))))-VLOOKUP((10^(LOG(Q26)-INT(LOG(Q26)))),C_s2:C_f2,1)&lt;VLOOKUP((10^(LOG(Q26)-INT(LOG(Q26)))),C_s2:C_f2,2)-(10^(LOG(Q26)-INT(LOG(Q26)))),VLOOKUP((10^(LOG(Q26)-INT(LOG(Q26)))),C_s2:C_f2,1),VLOOKUP((10^(LOG(Q26)-INT(LOG(Q26)))),C_s2:C_f2,2))</f>
        <v>6.8</v>
      </c>
    </row>
    <row r="30" spans="1:25" ht="18.75">
      <c r="A30" s="125">
        <v>140</v>
      </c>
      <c r="B30" s="125">
        <v>147</v>
      </c>
      <c r="E30" s="123">
        <v>3.3</v>
      </c>
      <c r="F30" s="123">
        <v>3.9</v>
      </c>
      <c r="I30" s="123" t="s">
        <v>63</v>
      </c>
      <c r="J30" s="123">
        <f>((1/fline_min)/2)+t_1</f>
        <v>1.0185312396437803E-2</v>
      </c>
      <c r="K30" s="123" t="s">
        <v>31</v>
      </c>
      <c r="P30" s="123" t="s">
        <v>472</v>
      </c>
      <c r="Q30" s="123">
        <f>(Irun*mA+(Qg*nC*fmin*kHz))/(1*fmin*kHz)*10^12</f>
        <v>1351955.6162225665</v>
      </c>
      <c r="R30" s="123" t="s">
        <v>28</v>
      </c>
    </row>
    <row r="31" spans="1:25" ht="18.75">
      <c r="A31" s="125">
        <v>147</v>
      </c>
      <c r="B31" s="125">
        <v>154</v>
      </c>
      <c r="E31" s="123">
        <v>3.9</v>
      </c>
      <c r="F31" s="123">
        <v>4.7</v>
      </c>
      <c r="I31" s="123" t="s">
        <v>64</v>
      </c>
      <c r="J31" s="123">
        <f>((t_line*10^-3)/2)+t_1-((t_line*10^-3)/4)</f>
        <v>6.0186457297711372E-3</v>
      </c>
      <c r="K31" s="123" t="s">
        <v>31</v>
      </c>
      <c r="Q31" s="123">
        <f>(IF(Q30&lt;10000,Q32*10^INT(LOG(Q30)),Q33*10^INT(LOG(Q30))))*10^-6</f>
        <v>1.5</v>
      </c>
      <c r="R31" s="123" t="s">
        <v>23</v>
      </c>
    </row>
    <row r="32" spans="1:25" ht="18.75">
      <c r="A32" s="125">
        <v>154</v>
      </c>
      <c r="B32" s="125">
        <v>162</v>
      </c>
      <c r="E32" s="123">
        <v>4.7</v>
      </c>
      <c r="F32" s="123">
        <v>5.6</v>
      </c>
      <c r="I32" s="123" t="s">
        <v>65</v>
      </c>
      <c r="J32" s="123">
        <f>((t_line*10^-3)/4)-t_1</f>
        <v>2.3146876035621987E-3</v>
      </c>
      <c r="K32" s="123" t="s">
        <v>31</v>
      </c>
      <c r="Q32" s="123">
        <f>IF((10^(LOG(Q30)-INT(LOG(Q30))))-VLOOKUP((10^(LOG(Q30)-INT(LOG(Q30)))),C_s1:C_f1,1)&lt;VLOOKUP((10^(LOG(Q30)-INT(LOG(Q30)))),C_s1:C_f1,2)-(10^(LOG(Q30)-INT(LOG(Q30)))),VLOOKUP((10^(LOG(Q30)-INT(LOG(Q30)))),C_s1:C_f1,1),VLOOKUP((10^(LOG(Q30)-INT(LOG(Q30)))),C_s1:C_f1,2))</f>
        <v>1.5</v>
      </c>
    </row>
    <row r="33" spans="1:17" ht="18.75">
      <c r="A33" s="125">
        <v>162</v>
      </c>
      <c r="B33" s="125">
        <v>169</v>
      </c>
      <c r="E33" s="123">
        <v>5.6</v>
      </c>
      <c r="F33" s="123">
        <v>6.8</v>
      </c>
      <c r="I33" s="123" t="s">
        <v>66</v>
      </c>
      <c r="J33" s="123">
        <f>(SQRT((2*Cbulk*uF)*(((Cbulk*uF)*(Vinput_min^2))-(Pin*t_discharge))))/(Cbulk*uF)</f>
        <v>124.08114246958793</v>
      </c>
      <c r="K33" s="123" t="s">
        <v>10</v>
      </c>
      <c r="Q33" s="123">
        <f>IF((10^(LOG(Q30)-INT(LOG(Q30))))-VLOOKUP((10^(LOG(Q30)-INT(LOG(Q30)))),C_s2:C_f2,1)&lt;VLOOKUP((10^(LOG(Q30)-INT(LOG(Q30)))),C_s2:C_f2,2)-(10^(LOG(Q30)-INT(LOG(Q30)))),VLOOKUP((10^(LOG(Q30)-INT(LOG(Q30)))),C_s2:C_f2,1),VLOOKUP((10^(LOG(Q30)-INT(LOG(Q30)))),C_s2:C_f2,2))</f>
        <v>1.5</v>
      </c>
    </row>
    <row r="34" spans="1:17">
      <c r="A34" s="125">
        <v>169</v>
      </c>
      <c r="B34" s="125">
        <v>178</v>
      </c>
      <c r="E34" s="123">
        <v>6.8</v>
      </c>
      <c r="F34" s="123">
        <v>8.1999999999999993</v>
      </c>
      <c r="I34" s="489" t="s">
        <v>32</v>
      </c>
      <c r="J34" s="489"/>
      <c r="K34" s="489"/>
    </row>
    <row r="35" spans="1:17" ht="18.75">
      <c r="A35" s="125">
        <v>178</v>
      </c>
      <c r="B35" s="125">
        <v>187</v>
      </c>
      <c r="E35" s="123">
        <v>8.1999999999999993</v>
      </c>
      <c r="F35" s="123">
        <v>10</v>
      </c>
      <c r="I35" s="123" t="s">
        <v>67</v>
      </c>
      <c r="J35" s="123">
        <f>(1/fline_min)/(2*PI())*ASIN((Vbulkvalley_1)/Vbulk_min)</f>
        <v>2.4492493839117359E-3</v>
      </c>
      <c r="K35" s="123" t="s">
        <v>31</v>
      </c>
    </row>
    <row r="36" spans="1:17" ht="18.75">
      <c r="A36" s="125">
        <v>187</v>
      </c>
      <c r="B36" s="125">
        <v>196</v>
      </c>
      <c r="E36" s="487" t="s">
        <v>22</v>
      </c>
      <c r="F36" s="487"/>
      <c r="G36" s="487"/>
      <c r="I36" s="123" t="s">
        <v>68</v>
      </c>
      <c r="J36" s="123">
        <f>((t_line*10^-3)/2)+t1_1</f>
        <v>1.0782582717245071E-2</v>
      </c>
      <c r="K36" s="123" t="s">
        <v>31</v>
      </c>
    </row>
    <row r="37" spans="1:17" ht="18.75">
      <c r="A37" s="125">
        <v>196</v>
      </c>
      <c r="B37" s="125">
        <v>205</v>
      </c>
      <c r="E37" s="123">
        <v>1</v>
      </c>
      <c r="F37" s="123">
        <v>1.5</v>
      </c>
      <c r="I37" s="123" t="s">
        <v>69</v>
      </c>
      <c r="J37" s="123">
        <f>t2_1-((t_line*10^-3)/4)</f>
        <v>6.6159160505784038E-3</v>
      </c>
      <c r="K37" s="123" t="s">
        <v>31</v>
      </c>
    </row>
    <row r="38" spans="1:17" ht="18.75">
      <c r="A38" s="125">
        <v>205</v>
      </c>
      <c r="B38" s="125">
        <v>215</v>
      </c>
      <c r="E38" s="123">
        <v>1.5</v>
      </c>
      <c r="F38" s="123">
        <v>2.2000000000000002</v>
      </c>
      <c r="I38" s="123" t="s">
        <v>70</v>
      </c>
      <c r="J38" s="123">
        <f>((t_line*10^-3)/4)-t1_1</f>
        <v>1.7174172827549316E-3</v>
      </c>
      <c r="K38" s="123" t="s">
        <v>31</v>
      </c>
    </row>
    <row r="39" spans="1:17" ht="18.75">
      <c r="A39" s="125">
        <v>215</v>
      </c>
      <c r="B39" s="125">
        <v>226</v>
      </c>
      <c r="E39" s="123">
        <v>2.2000000000000002</v>
      </c>
      <c r="F39" s="123">
        <v>3.3</v>
      </c>
      <c r="I39" s="123" t="s">
        <v>71</v>
      </c>
      <c r="J39" s="123">
        <f>SQRT((2*Cbulk*uF)*(((Cbulk*uF)*(Vinput_min^2))-(Pin*tdischarge_1)))/(Cbulk*uF)</f>
        <v>120.5091831516917</v>
      </c>
      <c r="K39" s="123" t="s">
        <v>10</v>
      </c>
    </row>
    <row r="40" spans="1:17">
      <c r="A40" s="125">
        <v>226</v>
      </c>
      <c r="B40" s="125">
        <v>237</v>
      </c>
      <c r="E40" s="123">
        <v>3.3</v>
      </c>
      <c r="F40" s="123">
        <v>4.7</v>
      </c>
      <c r="I40" s="126" t="s">
        <v>33</v>
      </c>
    </row>
    <row r="41" spans="1:17" ht="18.75">
      <c r="A41" s="125">
        <v>237</v>
      </c>
      <c r="B41" s="125">
        <v>249</v>
      </c>
      <c r="E41" s="123">
        <v>4.7</v>
      </c>
      <c r="F41" s="123">
        <v>6.8</v>
      </c>
      <c r="I41" s="123" t="s">
        <v>72</v>
      </c>
      <c r="J41" s="123">
        <f>(1/fline_min)/(2*PI())*ASIN(Vbulkvalley_2/Vbulk_min)</f>
        <v>2.3506681396095099E-3</v>
      </c>
      <c r="K41" s="123" t="s">
        <v>31</v>
      </c>
    </row>
    <row r="42" spans="1:17" ht="18.75">
      <c r="A42" s="125">
        <v>249</v>
      </c>
      <c r="B42" s="125">
        <v>261</v>
      </c>
      <c r="E42" s="123">
        <v>6.8</v>
      </c>
      <c r="F42" s="123">
        <v>10</v>
      </c>
      <c r="I42" s="123" t="s">
        <v>73</v>
      </c>
      <c r="J42" s="123">
        <f>((t_line*10^-3)/2)+t1_2</f>
        <v>1.0684001472942845E-2</v>
      </c>
      <c r="K42" s="123" t="s">
        <v>31</v>
      </c>
    </row>
    <row r="43" spans="1:17" ht="18.75">
      <c r="A43" s="125">
        <v>261</v>
      </c>
      <c r="B43" s="125">
        <v>274</v>
      </c>
      <c r="I43" s="123" t="s">
        <v>74</v>
      </c>
      <c r="J43" s="123">
        <f>t2_2-((t_line*10^-3)/4)</f>
        <v>6.5173348062761774E-3</v>
      </c>
      <c r="K43" s="123" t="s">
        <v>31</v>
      </c>
    </row>
    <row r="44" spans="1:17" ht="18.75">
      <c r="A44" s="125">
        <v>274</v>
      </c>
      <c r="B44" s="125">
        <v>287</v>
      </c>
      <c r="I44" s="123" t="s">
        <v>75</v>
      </c>
      <c r="J44" s="123">
        <f>((t_line*10^-3)/4)-t1_2</f>
        <v>1.8159985270571576E-3</v>
      </c>
      <c r="K44" s="123" t="s">
        <v>31</v>
      </c>
    </row>
    <row r="45" spans="1:17" ht="18.75">
      <c r="A45" s="125">
        <v>287</v>
      </c>
      <c r="B45" s="125">
        <v>301</v>
      </c>
      <c r="I45" s="123" t="s">
        <v>76</v>
      </c>
      <c r="J45" s="123">
        <f>SQRT((2*Cbulk*uF)*(((Cbulk*uF)*(Vinput_min^2))-(Pin*tdischarge_2)))/(Cbulk*uF)</f>
        <v>121.10600526850853</v>
      </c>
      <c r="K45" s="123" t="s">
        <v>10</v>
      </c>
    </row>
    <row r="46" spans="1:17">
      <c r="A46" s="125">
        <v>301</v>
      </c>
      <c r="B46" s="125">
        <v>316</v>
      </c>
      <c r="I46" s="126" t="s">
        <v>35</v>
      </c>
    </row>
    <row r="47" spans="1:17" ht="18.75">
      <c r="A47" s="125">
        <v>316</v>
      </c>
      <c r="B47" s="125">
        <v>332</v>
      </c>
      <c r="I47" s="123" t="s">
        <v>77</v>
      </c>
      <c r="J47" s="123">
        <f>(1/fline_min)/(2*PI())*ASIN(Vbulkvalley_3/Vbulk_min)</f>
        <v>2.3668212798017866E-3</v>
      </c>
      <c r="K47" s="123" t="s">
        <v>31</v>
      </c>
    </row>
    <row r="48" spans="1:17" ht="18.75">
      <c r="A48" s="125">
        <v>332</v>
      </c>
      <c r="B48" s="125">
        <v>348</v>
      </c>
      <c r="I48" s="123" t="s">
        <v>78</v>
      </c>
      <c r="J48" s="123">
        <f>((t_line*10^-3)/2)+t1_3</f>
        <v>1.0700154613135122E-2</v>
      </c>
      <c r="K48" s="123" t="s">
        <v>31</v>
      </c>
    </row>
    <row r="49" spans="1:11" ht="18.75">
      <c r="A49" s="125">
        <v>348</v>
      </c>
      <c r="B49" s="125">
        <v>365</v>
      </c>
      <c r="I49" s="123" t="s">
        <v>79</v>
      </c>
      <c r="J49" s="123">
        <f>t2_3-((t_line*10^-3)/4)</f>
        <v>6.533487946468455E-3</v>
      </c>
      <c r="K49" s="123" t="s">
        <v>31</v>
      </c>
    </row>
    <row r="50" spans="1:11" ht="18.75">
      <c r="A50" s="125">
        <v>365</v>
      </c>
      <c r="B50" s="125">
        <v>383</v>
      </c>
      <c r="I50" s="123" t="s">
        <v>80</v>
      </c>
      <c r="J50" s="123">
        <f>((t_line*10^-3)/4)-t1_3</f>
        <v>1.7998453868648808E-3</v>
      </c>
      <c r="K50" s="123" t="s">
        <v>31</v>
      </c>
    </row>
    <row r="51" spans="1:11" ht="18.75">
      <c r="A51" s="125">
        <v>383</v>
      </c>
      <c r="B51" s="125">
        <v>402</v>
      </c>
      <c r="I51" s="123" t="s">
        <v>81</v>
      </c>
      <c r="J51" s="123">
        <f>(SQRT((2*Cbulk*uF)*(((Cbulk*uF)*(Vinput_min^2))-(Pin*tdischarge_3))))/(Cbulk*uF)</f>
        <v>121.00841395752977</v>
      </c>
      <c r="K51" s="123" t="s">
        <v>10</v>
      </c>
    </row>
    <row r="52" spans="1:11">
      <c r="A52" s="125">
        <v>402</v>
      </c>
      <c r="B52" s="125">
        <v>422</v>
      </c>
    </row>
    <row r="53" spans="1:11">
      <c r="A53" s="125">
        <v>422</v>
      </c>
      <c r="B53" s="125">
        <v>442</v>
      </c>
    </row>
    <row r="54" spans="1:11">
      <c r="A54" s="125">
        <v>442</v>
      </c>
      <c r="B54" s="125">
        <v>464</v>
      </c>
    </row>
    <row r="55" spans="1:11">
      <c r="A55" s="125">
        <v>464</v>
      </c>
      <c r="B55" s="125">
        <v>487</v>
      </c>
    </row>
    <row r="56" spans="1:11" ht="18.75">
      <c r="A56" s="125">
        <v>487</v>
      </c>
      <c r="B56" s="125">
        <v>511</v>
      </c>
      <c r="G56" s="127" t="s">
        <v>476</v>
      </c>
      <c r="H56" s="123">
        <f>Vbulk_run/(Npa*Ivslrun_max*uA)/kOhms</f>
        <v>57.889094906978279</v>
      </c>
      <c r="I56" s="123" t="s">
        <v>340</v>
      </c>
    </row>
    <row r="57" spans="1:11" ht="15">
      <c r="A57" s="125">
        <v>511</v>
      </c>
      <c r="B57" s="125">
        <v>536</v>
      </c>
      <c r="H57" s="123">
        <f>(IF((10^(LOG(H56)-INT(LOG(H56)))*100)-VLOOKUP((10^(LOG(H56)-INT(LOG(H56)))*100),E_48s:E_48f,1)&lt;VLOOKUP((10^(LOG(H56)-INT(LOG(H56)))*100),E_48s:E_48f,2)-(10^(LOG(H56)-INT(LOG(H56)))*100),VLOOKUP((10^(LOG(H56)-INT(LOG(H56)))*100),E_48s:E_48f,1),VLOOKUP((10^(LOG(H56)-INT(LOG(H56)))*100),E_48s:E_48f,2)))*10^INT(LOG(H56))/100</f>
        <v>59</v>
      </c>
      <c r="I57" s="123" t="s">
        <v>340</v>
      </c>
    </row>
    <row r="58" spans="1:11">
      <c r="A58" s="125">
        <v>536</v>
      </c>
      <c r="B58" s="125">
        <v>562</v>
      </c>
    </row>
    <row r="59" spans="1:11" ht="18.75">
      <c r="A59" s="125">
        <v>562</v>
      </c>
      <c r="B59" s="125">
        <v>590</v>
      </c>
      <c r="G59" s="127" t="s">
        <v>477</v>
      </c>
      <c r="H59" s="123">
        <f>R_vs1*kOhms*Vovp_nom/(Nas*(Vout_ovp-Vf-(DCR_Lout*mOhms*Iocc))-Vovp_nom)/kOhms</f>
        <v>28.408861422784856</v>
      </c>
      <c r="I59" s="123" t="s">
        <v>340</v>
      </c>
    </row>
    <row r="60" spans="1:11" ht="15">
      <c r="A60" s="125">
        <v>590</v>
      </c>
      <c r="B60" s="125">
        <v>619</v>
      </c>
      <c r="H60" s="123">
        <f>(IF((10^(LOG(H59)-INT(LOG(H59)))*100)-VLOOKUP((10^(LOG(H59)-INT(LOG(H59)))*100),E_48s:E_48f,1)&lt;VLOOKUP((10^(LOG(H59)-INT(LOG(H59)))*100),E_48s:E_48f,2)-(10^(LOG(H59)-INT(LOG(H59)))*100),VLOOKUP((10^(LOG(H59)-INT(LOG(H59)))*100),E_48s:E_48f,1),VLOOKUP((10^(LOG(H59)-INT(LOG(H59)))*100),E_48s:E_48f,2)))*10^INT(LOG(H59))/100</f>
        <v>28.7</v>
      </c>
      <c r="I60" s="123" t="s">
        <v>340</v>
      </c>
    </row>
    <row r="61" spans="1:11">
      <c r="A61" s="125">
        <v>619</v>
      </c>
      <c r="B61" s="125">
        <v>649</v>
      </c>
    </row>
    <row r="62" spans="1:11" ht="18.75">
      <c r="A62" s="125">
        <v>649</v>
      </c>
      <c r="B62" s="125">
        <v>681</v>
      </c>
      <c r="G62" s="127" t="s">
        <v>478</v>
      </c>
      <c r="H62" s="123">
        <f>((Klc*R_vs1*kOhms*Rcs*tdelay*ns*Npa)/(Lp*uH))/kOhms</f>
        <v>0.88351117335000007</v>
      </c>
      <c r="I62" s="123" t="s">
        <v>340</v>
      </c>
    </row>
    <row r="63" spans="1:11" ht="15">
      <c r="A63" s="125">
        <v>681</v>
      </c>
      <c r="B63" s="125">
        <v>715</v>
      </c>
      <c r="H63" s="123">
        <f>(IF((10^(LOG(H62)-INT(LOG(H62)))*100)-VLOOKUP((10^(LOG(H62)-INT(LOG(H62)))*100),E_48s:E_48f,1)&lt;VLOOKUP((10^(LOG(H62)-INT(LOG(H62)))*100),E_48s:E_48f,2)-(10^(LOG(H62)-INT(LOG(H62)))*100),VLOOKUP((10^(LOG(H62)-INT(LOG(H62)))*100),E_48s:E_48f,1),VLOOKUP((10^(LOG(H62)-INT(LOG(H62)))*100),E_48s:E_48f,2)))*10^INT(LOG(H62))/100</f>
        <v>0.8660000000000001</v>
      </c>
      <c r="I63" s="123" t="s">
        <v>340</v>
      </c>
    </row>
    <row r="64" spans="1:11">
      <c r="A64" s="125">
        <v>715</v>
      </c>
      <c r="B64" s="125">
        <v>750</v>
      </c>
    </row>
    <row r="65" spans="1:23" ht="18.75">
      <c r="A65" s="125">
        <v>750</v>
      </c>
      <c r="B65" s="125">
        <v>787</v>
      </c>
      <c r="G65" s="127" t="s">
        <v>483</v>
      </c>
      <c r="H65" s="123">
        <f>Vref431/((Iref431*uA*15)-Iref431*uA)/kOhms</f>
        <v>179.71428571428575</v>
      </c>
      <c r="I65" s="123" t="s">
        <v>340</v>
      </c>
    </row>
    <row r="66" spans="1:23" ht="15">
      <c r="A66" s="125">
        <v>787</v>
      </c>
      <c r="B66" s="125">
        <v>825</v>
      </c>
      <c r="H66" s="123">
        <f>(IF((10^(LOG(H65)-INT(LOG(H65)))*100)-VLOOKUP((10^(LOG(H65)-INT(LOG(H65)))*100),E_48s:E_48f,1)&lt;VLOOKUP((10^(LOG(H65)-INT(LOG(H65)))*100),E_48s:E_48f,2)-(10^(LOG(H65)-INT(LOG(H65)))*100),VLOOKUP((10^(LOG(H65)-INT(LOG(H65)))*100),E_48s:E_48f,1),VLOOKUP((10^(LOG(H65)-INT(LOG(H65)))*100),E_48s:E_48f,2)))*10^INT(LOG(H65))/100</f>
        <v>178</v>
      </c>
      <c r="I66" s="123" t="s">
        <v>340</v>
      </c>
    </row>
    <row r="67" spans="1:23">
      <c r="A67" s="125">
        <v>825</v>
      </c>
      <c r="B67" s="125">
        <v>866</v>
      </c>
    </row>
    <row r="68" spans="1:23" ht="18.75">
      <c r="A68" s="125">
        <v>866</v>
      </c>
      <c r="B68" s="125">
        <v>909</v>
      </c>
      <c r="G68" s="127" t="s">
        <v>507</v>
      </c>
      <c r="H68" s="123">
        <f>(Vout_cv-Vref431)/(Vref431/(R_fb2*kOhms))/kOhms</f>
        <v>529.47217806041328</v>
      </c>
      <c r="I68" s="123" t="s">
        <v>340</v>
      </c>
    </row>
    <row r="69" spans="1:23" ht="15">
      <c r="A69" s="125">
        <v>909</v>
      </c>
      <c r="B69" s="125">
        <v>953</v>
      </c>
      <c r="H69" s="123">
        <f>(IF((10^(LOG(H68)-INT(LOG(H68)))*100)-VLOOKUP((10^(LOG(H68)-INT(LOG(H68)))*100),E_48s:E_48f,1)&lt;VLOOKUP((10^(LOG(H68)-INT(LOG(H68)))*100),E_48s:E_48f,2)-(10^(LOG(H68)-INT(LOG(H68)))*100),VLOOKUP((10^(LOG(H68)-INT(LOG(H68)))*100),E_48s:E_48f,1),VLOOKUP((10^(LOG(H68)-INT(LOG(H68)))*100),E_48s:E_48f,2)))*10^INT(LOG(H68))/100</f>
        <v>536</v>
      </c>
      <c r="I69" s="123" t="s">
        <v>340</v>
      </c>
    </row>
    <row r="70" spans="1:23">
      <c r="A70" s="125">
        <v>953</v>
      </c>
      <c r="B70" s="125">
        <v>1000</v>
      </c>
    </row>
    <row r="75" spans="1:23">
      <c r="A75" s="123" t="s">
        <v>590</v>
      </c>
    </row>
    <row r="76" spans="1:23">
      <c r="D76" s="487" t="s">
        <v>596</v>
      </c>
      <c r="E76" s="487"/>
      <c r="F76" s="487"/>
      <c r="G76" s="123" t="s">
        <v>599</v>
      </c>
      <c r="J76" s="123" t="s">
        <v>613</v>
      </c>
    </row>
    <row r="77" spans="1:23" ht="15">
      <c r="A77" s="488" t="s">
        <v>591</v>
      </c>
      <c r="B77" s="123" t="s">
        <v>592</v>
      </c>
      <c r="C77" s="129" t="s">
        <v>593</v>
      </c>
      <c r="D77" s="123" t="s">
        <v>595</v>
      </c>
      <c r="G77" s="123" t="s">
        <v>595</v>
      </c>
      <c r="J77" s="123" t="s">
        <v>595</v>
      </c>
    </row>
    <row r="78" spans="1:23">
      <c r="A78" s="488"/>
      <c r="B78" s="123" t="s">
        <v>53</v>
      </c>
      <c r="C78" s="123" t="s">
        <v>594</v>
      </c>
      <c r="E78" s="123" t="s">
        <v>597</v>
      </c>
      <c r="F78" s="123" t="s">
        <v>598</v>
      </c>
      <c r="H78" s="123" t="s">
        <v>597</v>
      </c>
      <c r="I78" s="123" t="s">
        <v>598</v>
      </c>
      <c r="K78" s="123" t="s">
        <v>597</v>
      </c>
      <c r="L78" s="123" t="s">
        <v>598</v>
      </c>
      <c r="U78" s="123" t="s">
        <v>614</v>
      </c>
      <c r="W78" s="123">
        <f>VLOOKUP(75,R79:S109,2,FALSE)</f>
        <v>1000</v>
      </c>
    </row>
    <row r="79" spans="1:23">
      <c r="A79" s="130">
        <v>1</v>
      </c>
      <c r="B79" s="123">
        <f>10^A79</f>
        <v>10</v>
      </c>
      <c r="C79" s="123">
        <f>2*PI()*B79</f>
        <v>62.831853071795862</v>
      </c>
      <c r="D79" s="123" t="str">
        <f>IMDIV(((CTRmin/100)*0.1),COMPLEX(1,'LOOKUP TABLES AND DROPDOWN LIST'!C79*((Copto*nF)+(Cext*uF))*((R_fb4*kOhms*Requ*kOhms)/((R_fb4*kOhms)+(Requ*kOhms)))))</f>
        <v>0.0499991253874517-0.000209116863184i</v>
      </c>
      <c r="E79" s="123">
        <f>20*LOG(IMABS(D79))</f>
        <v>-26.020675881824765</v>
      </c>
      <c r="F79" s="123">
        <f>180/PI()*IMARGUMENT(D79)</f>
        <v>-0.23963306819685404</v>
      </c>
      <c r="G79" s="123" t="str">
        <f>IMDIV((Vout_cv/(2*Iocc)),COMPLEX(1,'LOOKUP TABLES AND DROPDOWN LIST'!C79*(Cout*uF)*(Vout_cv/(2*Iocc))))</f>
        <v>2.0953060947233-0.228897405544816i</v>
      </c>
      <c r="H79" s="123">
        <f>20*LOG(IMABS(G79))</f>
        <v>6.4764714941652626</v>
      </c>
      <c r="I79" s="123">
        <f t="shared" ref="I79:I109" si="0">180/PI()*IMARGUMENT(G79)</f>
        <v>-6.2344374112444472</v>
      </c>
      <c r="J79" s="123" t="str">
        <f>IMPRODUCT((1/(R_tl*kOhms)),G_fb1,(G_fb2*kOhms),(K_fm4*kHz),(G_p4*uC),'LOOKUP TABLES AND DROPDOWN LIST'!D79,'LOOKUP TABLES AND DROPDOWN LIST'!G79)</f>
        <v>-5.25145865024214+0.59592083210748i</v>
      </c>
      <c r="K79" s="123">
        <f>20*LOG(IMABS(J79))</f>
        <v>14.461166421811233</v>
      </c>
      <c r="L79" s="123">
        <f>180/PI()*IMARGUMENT(J79)</f>
        <v>173.52592952055869</v>
      </c>
      <c r="R79" s="123">
        <f>MROUND(L109,5)</f>
        <v>15</v>
      </c>
      <c r="S79" s="123">
        <f>B109</f>
        <v>10000</v>
      </c>
    </row>
    <row r="80" spans="1:23">
      <c r="A80" s="130">
        <v>1.1000000000000001</v>
      </c>
      <c r="B80" s="123">
        <f t="shared" ref="B80:B109" si="1">10^A80</f>
        <v>12.58925411794168</v>
      </c>
      <c r="C80" s="123">
        <f>2*PI()*B80</f>
        <v>79.100616502201262</v>
      </c>
      <c r="D80" s="123" t="str">
        <f>IMDIV(((CTRmin/100)*0.1),COMPLEX(1,'LOOKUP TABLES AND DROPDOWN LIST'!C80*((Copto*nF)+(Cext*uF))*((R_fb4*kOhms*Requ*kOhms)/((R_fb4*kOhms)+(Requ*kOhms)))))</f>
        <v>0.049998613846708-0.000263259839659668i</v>
      </c>
      <c r="E80" s="123">
        <f t="shared" ref="E80:E100" si="2">20*LOG(IMABS(D80))</f>
        <v>-26.02072031469374</v>
      </c>
      <c r="F80" s="123">
        <f t="shared" ref="F80:F109" si="3">180/PI()*IMARGUMENT(D80)</f>
        <v>-0.30167913022333154</v>
      </c>
      <c r="G80" s="123" t="str">
        <f>IMDIV((Vout_cv/(2*Iocc)),COMPLEX(1,'LOOKUP TABLES AND DROPDOWN LIST'!C80*(Cout*uF)*(Vout_cv/(2*Iocc))))</f>
        <v>2.08095208493596-0.286190671973275i</v>
      </c>
      <c r="H80" s="123">
        <f t="shared" ref="H80:H109" si="4">20*LOG(IMABS(G80))</f>
        <v>6.4466175362758271</v>
      </c>
      <c r="I80" s="123">
        <f t="shared" si="0"/>
        <v>-7.830691379336681</v>
      </c>
      <c r="J80" s="123" t="str">
        <f>IMPRODUCT((1/(R_tl*kOhms)),G_fb1,(G_fb2*kOhms),(K_fm4*kHz),(G_p4*uC),'LOOKUP TABLES AND DROPDOWN LIST'!D80,'LOOKUP TABLES AND DROPDOWN LIST'!G80)</f>
        <v>-5.21403549099142+0.745072833449769i</v>
      </c>
      <c r="K80" s="123">
        <f t="shared" ref="K80:K109" si="5">20*LOG(IMABS(J80))</f>
        <v>14.431268031052817</v>
      </c>
      <c r="L80" s="123">
        <f t="shared" ref="L80:L109" si="6">180/PI()*IMARGUMENT(J80)</f>
        <v>171.86762949043998</v>
      </c>
      <c r="R80" s="123">
        <f>MROUND(L108,5)</f>
        <v>15</v>
      </c>
      <c r="S80" s="123">
        <f>B108</f>
        <v>7943.2823472428154</v>
      </c>
    </row>
    <row r="81" spans="1:24">
      <c r="A81" s="130">
        <v>1.2</v>
      </c>
      <c r="B81" s="123">
        <f t="shared" si="1"/>
        <v>15.848931924611136</v>
      </c>
      <c r="C81" s="123">
        <f t="shared" ref="C81:C88" si="7">2*PI()*B81</f>
        <v>99.581776203206175</v>
      </c>
      <c r="D81" s="123" t="str">
        <f>IMDIV(((CTRmin/100)*0.1),COMPLEX(1,'LOOKUP TABLES AND DROPDOWN LIST'!C81*((Copto*nF)+(Cext*uF))*((R_fb4*kOhms*Requ*kOhms)/((R_fb4*kOhms)+(Requ*kOhms)))))</f>
        <v>0.0499978031307062-0.000331419128080487i</v>
      </c>
      <c r="E81" s="123">
        <f t="shared" si="2"/>
        <v>-26.020790735114112</v>
      </c>
      <c r="F81" s="123">
        <f t="shared" si="3"/>
        <v>-0.37978947048120182</v>
      </c>
      <c r="G81" s="123" t="str">
        <f>IMDIV((Vout_cv/(2*Iocc)),COMPLEX(1,'LOOKUP TABLES AND DROPDOWN LIST'!C81*(Cout*uF)*(Vout_cv/(2*Iocc))))</f>
        <v>2.05860103399582-0.356422884420106i</v>
      </c>
      <c r="H81" s="123">
        <f t="shared" si="4"/>
        <v>6.3997185974733286</v>
      </c>
      <c r="I81" s="123">
        <f t="shared" si="0"/>
        <v>-9.8227203948516078</v>
      </c>
      <c r="J81" s="123" t="str">
        <f>IMPRODUCT((1/(R_tl*kOhms)),G_fb1,(G_fb2*kOhms),(K_fm4*kHz),(G_p4*uC),'LOOKUP TABLES AND DROPDOWN LIST'!D81,'LOOKUP TABLES AND DROPDOWN LIST'!G81)</f>
        <v>-5.15576284874752+0.92790132033189i</v>
      </c>
      <c r="K81" s="123">
        <f t="shared" si="5"/>
        <v>14.384298671829958</v>
      </c>
      <c r="L81" s="123">
        <f t="shared" si="6"/>
        <v>169.79749013466721</v>
      </c>
      <c r="R81" s="123">
        <f>MROUND(L107,5)</f>
        <v>20</v>
      </c>
      <c r="S81" s="123">
        <f>B107</f>
        <v>6309.5734448019384</v>
      </c>
      <c r="W81" s="123">
        <f>(1/((2*PI()*'LOOKUP TABLES AND DROPDOWN LIST'!W78*R_fb1*kOhms)))/pF</f>
        <v>296.91978488096595</v>
      </c>
      <c r="X81" s="123" t="s">
        <v>28</v>
      </c>
    </row>
    <row r="82" spans="1:24">
      <c r="A82" s="130">
        <v>1.3</v>
      </c>
      <c r="B82" s="123">
        <f t="shared" si="1"/>
        <v>19.952623149688804</v>
      </c>
      <c r="C82" s="123">
        <f t="shared" si="7"/>
        <v>125.36602861381597</v>
      </c>
      <c r="D82" s="123" t="str">
        <f>IMDIV(((CTRmin/100)*0.1),COMPLEX(1,'LOOKUP TABLES AND DROPDOWN LIST'!C82*((Copto*nF)+(Cext*uF))*((R_fb4*kOhms*Requ*kOhms)/((R_fb4*kOhms)+(Requ*kOhms)))))</f>
        <v>0.0499965182862869-0.000417221240260927i</v>
      </c>
      <c r="E82" s="123">
        <f t="shared" si="2"/>
        <v>-26.020902341620065</v>
      </c>
      <c r="F82" s="123">
        <f t="shared" si="3"/>
        <v>-0.47812251981916576</v>
      </c>
      <c r="G82" s="123" t="str">
        <f>IMDIV((Vout_cv/(2*Iocc)),COMPLEX(1,'LOOKUP TABLES AND DROPDOWN LIST'!C82*(Cout*uF)*(Vout_cv/(2*Iocc))))</f>
        <v>2.02414404821068-0.441199294942822i</v>
      </c>
      <c r="H82" s="123">
        <f t="shared" si="4"/>
        <v>6.3264108900391216</v>
      </c>
      <c r="I82" s="123">
        <f t="shared" si="0"/>
        <v>-12.296339070845278</v>
      </c>
      <c r="J82" s="123" t="str">
        <f>IMPRODUCT((1/(R_tl*kOhms)),G_fb1,(G_fb2*kOhms),(K_fm4*kHz),(G_p4*uC),'LOOKUP TABLES AND DROPDOWN LIST'!D82,'LOOKUP TABLES AND DROPDOWN LIST'!G82)</f>
        <v>-5.06592831267934+1.14857632802344i</v>
      </c>
      <c r="K82" s="123">
        <f t="shared" si="5"/>
        <v>14.310879357889785</v>
      </c>
      <c r="L82" s="123">
        <f t="shared" si="6"/>
        <v>167.22553840933557</v>
      </c>
      <c r="R82" s="123">
        <f>MROUND(L106,5)</f>
        <v>25</v>
      </c>
      <c r="S82" s="123">
        <f>B106</f>
        <v>5011.8723362727324</v>
      </c>
      <c r="W82" s="123">
        <f>(IF(W81&lt;10000,W83*10^INT(LOG(W81)),W84*10^INT(LOG(W81))))</f>
        <v>270</v>
      </c>
      <c r="X82" s="123" t="s">
        <v>28</v>
      </c>
    </row>
    <row r="83" spans="1:24">
      <c r="A83" s="130">
        <v>1.4</v>
      </c>
      <c r="B83" s="123">
        <f t="shared" si="1"/>
        <v>25.118864315095799</v>
      </c>
      <c r="C83" s="123">
        <f t="shared" si="7"/>
        <v>157.82647919764753</v>
      </c>
      <c r="D83" s="123" t="str">
        <f>IMDIV(((CTRmin/100)*0.1),COMPLEX(1,'LOOKUP TABLES AND DROPDOWN LIST'!C83*((Copto*nF)+(Cext*uF))*((R_fb4*kOhms*Requ*kOhms)/((R_fb4*kOhms)+(Requ*kOhms)))))</f>
        <v>0.0499944820803752-0.000525229029854876i</v>
      </c>
      <c r="E83" s="123">
        <f t="shared" si="2"/>
        <v>-26.021079220136805</v>
      </c>
      <c r="F83" s="123">
        <f t="shared" si="3"/>
        <v>-0.60191241847830323</v>
      </c>
      <c r="G83" s="123" t="str">
        <f>IMDIV((Vout_cv/(2*Iocc)),COMPLEX(1,'LOOKUP TABLES AND DROPDOWN LIST'!C83*(Cout*uF)*(Vout_cv/(2*Iocc))))</f>
        <v>1.97183513489625-0.541083131318302i</v>
      </c>
      <c r="H83" s="123">
        <f t="shared" si="4"/>
        <v>6.2127027393816325</v>
      </c>
      <c r="I83" s="123">
        <f t="shared" si="0"/>
        <v>-15.344598547742892</v>
      </c>
      <c r="J83" s="123" t="str">
        <f>IMPRODUCT((1/(R_tl*kOhms)),G_fb1,(G_fb2*kOhms),(K_fm4*kHz),(G_p4*uC),'LOOKUP TABLES AND DROPDOWN LIST'!D83,'LOOKUP TABLES AND DROPDOWN LIST'!G83)</f>
        <v>-4.92955148360491+1.4085470499458i</v>
      </c>
      <c r="K83" s="123">
        <f t="shared" si="5"/>
        <v>14.196994328715558</v>
      </c>
      <c r="L83" s="123">
        <f t="shared" si="6"/>
        <v>164.05348903377876</v>
      </c>
      <c r="R83" s="123">
        <f>MROUND(L105,5)</f>
        <v>30</v>
      </c>
      <c r="S83" s="123">
        <v>3981.0717055349769</v>
      </c>
      <c r="W83" s="123">
        <f>IF((10^(LOG(W81)-INT(LOG(W81))))-VLOOKUP((10^(LOG(W81)-INT(LOG(W81)))),C_s1:C_f1,1)&lt;VLOOKUP((10^(LOG(W81)-INT(LOG(W81)))),C_s1:C_f1,2)-(10^(LOG(W81)-INT(LOG(W81)))),VLOOKUP((10^(LOG(W81)-INT(LOG(W81)))),C_s1:C_f1,1),VLOOKUP((10^(LOG(W81)-INT(LOG(W81)))),C_s1:C_f1,2))</f>
        <v>2.7</v>
      </c>
    </row>
    <row r="84" spans="1:24">
      <c r="A84" s="130">
        <v>1.5</v>
      </c>
      <c r="B84" s="123">
        <f t="shared" si="1"/>
        <v>31.622776601683803</v>
      </c>
      <c r="C84" s="123">
        <f t="shared" si="7"/>
        <v>198.69176531592208</v>
      </c>
      <c r="D84" s="123" t="str">
        <f>IMDIV(((CTRmin/100)*0.1),COMPLEX(1,'LOOKUP TABLES AND DROPDOWN LIST'!C84*((Copto*nF)+(Cext*uF))*((R_fb4*kOhms*Requ*kOhms)/((R_fb4*kOhms)+(Requ*kOhms)))))</f>
        <v>0.0499912552512051-0.000661181494837476i</v>
      </c>
      <c r="E84" s="123">
        <f t="shared" si="2"/>
        <v>-26.021359538938363</v>
      </c>
      <c r="F84" s="123">
        <f t="shared" si="3"/>
        <v>-0.75774653569527961</v>
      </c>
      <c r="G84" s="123" t="str">
        <f>IMDIV((Vout_cv/(2*Iocc)),COMPLEX(1,'LOOKUP TABLES AND DROPDOWN LIST'!C84*(Cout*uF)*(Vout_cv/(2*Iocc))))</f>
        <v>1.89425119128319-0.654381424733663i</v>
      </c>
      <c r="H84" s="123">
        <f t="shared" si="4"/>
        <v>6.0383724221641177</v>
      </c>
      <c r="I84" s="123">
        <f t="shared" si="0"/>
        <v>-19.057805586502614</v>
      </c>
      <c r="J84" s="123" t="str">
        <f>IMPRODUCT((1/(R_tl*kOhms)),G_fb1,(G_fb2*kOhms),(K_fm4*kHz),(G_p4*uC),'LOOKUP TABLES AND DROPDOWN LIST'!D84,'LOOKUP TABLES AND DROPDOWN LIST'!G84)</f>
        <v>-4.72727990566896+1.70337510138953i</v>
      </c>
      <c r="K84" s="123">
        <f t="shared" si="5"/>
        <v>14.022383692696494</v>
      </c>
      <c r="L84" s="123">
        <f t="shared" si="6"/>
        <v>160.18444787780211</v>
      </c>
      <c r="R84" s="123">
        <f>MROUND(L104,5)</f>
        <v>40</v>
      </c>
      <c r="S84" s="123">
        <f>B104</f>
        <v>3162.2776601683804</v>
      </c>
      <c r="W84" s="123">
        <f>IF((10^(LOG(W81)-INT(LOG(W81))))-VLOOKUP((10^(LOG(W81)-INT(LOG(W81)))),C_s2:C_f2,1)&lt;VLOOKUP((10^(LOG(W81)-INT(LOG(W81)))),C_s2:C_f2,2)-(10^(LOG(W81)-INT(LOG(W81)))),VLOOKUP((10^(LOG(W81)-INT(LOG(W81)))),C_s2:C_f2,1),VLOOKUP((10^(LOG(W81)-INT(LOG(W81)))),C_s2:C_f2,2))</f>
        <v>3.3</v>
      </c>
    </row>
    <row r="85" spans="1:24">
      <c r="A85" s="130">
        <v>1.6</v>
      </c>
      <c r="B85" s="123">
        <f t="shared" si="1"/>
        <v>39.810717055349755</v>
      </c>
      <c r="C85" s="123">
        <f t="shared" si="7"/>
        <v>250.13811247045734</v>
      </c>
      <c r="D85" s="123" t="str">
        <f>IMDIV(((CTRmin/100)*0.1),COMPLEX(1,'LOOKUP TABLES AND DROPDOWN LIST'!C85*((Copto*nF)+(Cext*uF))*((R_fb4*kOhms*Requ*kOhms)/((R_fb4*kOhms)+(Requ*kOhms)))))</f>
        <v>0.0499861419247753-0.000832293046340987i</v>
      </c>
      <c r="E85" s="123">
        <f t="shared" si="2"/>
        <v>-26.021803777239679</v>
      </c>
      <c r="F85" s="123">
        <f t="shared" si="3"/>
        <v>-0.95391384278019109</v>
      </c>
      <c r="G85" s="123" t="str">
        <f>IMDIV((Vout_cv/(2*Iocc)),COMPLEX(1,'LOOKUP TABLES AND DROPDOWN LIST'!C85*(Cout*uF)*(Vout_cv/(2*Iocc))))</f>
        <v>1.78306076526671-0.775460244476284i</v>
      </c>
      <c r="H85" s="123">
        <f t="shared" si="4"/>
        <v>5.7756581700141618</v>
      </c>
      <c r="I85" s="123">
        <f t="shared" si="0"/>
        <v>-23.504414475024227</v>
      </c>
      <c r="J85" s="123" t="str">
        <f>IMPRODUCT((1/(R_tl*kOhms)),G_fb1,(G_fb2*kOhms),(K_fm4*kHz),(G_p4*uC),'LOOKUP TABLES AND DROPDOWN LIST'!D85,'LOOKUP TABLES AND DROPDOWN LIST'!G85)</f>
        <v>-4.43739386277864+2.018340550608i</v>
      </c>
      <c r="K85" s="123">
        <f t="shared" si="5"/>
        <v>13.759225202245222</v>
      </c>
      <c r="L85" s="123">
        <f t="shared" si="6"/>
        <v>155.54167168219561</v>
      </c>
      <c r="R85" s="123">
        <f>MROUND(L103,5)</f>
        <v>45</v>
      </c>
      <c r="S85" s="123">
        <f>B103</f>
        <v>2511.8864315095811</v>
      </c>
    </row>
    <row r="86" spans="1:24">
      <c r="A86" s="130">
        <v>1.7</v>
      </c>
      <c r="B86" s="123">
        <f t="shared" si="1"/>
        <v>50.118723362727238</v>
      </c>
      <c r="C86" s="123">
        <f t="shared" si="7"/>
        <v>314.90522624728607</v>
      </c>
      <c r="D86" s="123" t="str">
        <f>IMDIV(((CTRmin/100)*0.1),COMPLEX(1,'LOOKUP TABLES AND DROPDOWN LIST'!C86*((Copto*nF)+(Cext*uF))*((R_fb4*kOhms*Requ*kOhms)/((R_fb4*kOhms)+(Requ*kOhms)))))</f>
        <v>0.0499780399908501-0.00104762503573236i</v>
      </c>
      <c r="E86" s="123">
        <f t="shared" si="2"/>
        <v>-26.022507754431658</v>
      </c>
      <c r="F86" s="123">
        <f t="shared" si="3"/>
        <v>-1.2008414883228022</v>
      </c>
      <c r="G86" s="123" t="str">
        <f>IMDIV((Vout_cv/(2*Iocc)),COMPLEX(1,'LOOKUP TABLES AND DROPDOWN LIST'!C86*(Cout*uF)*(Vout_cv/(2*Iocc))))</f>
        <v>1.63129867212575-0.893155087969682i</v>
      </c>
      <c r="H86" s="123">
        <f t="shared" si="4"/>
        <v>5.3893315584147796</v>
      </c>
      <c r="I86" s="123">
        <f t="shared" si="0"/>
        <v>-28.701220139274152</v>
      </c>
      <c r="J86" s="123" t="str">
        <f>IMPRODUCT((1/(R_tl*kOhms)),G_fb1,(G_fb2*kOhms),(K_fm4*kHz),(G_p4*uC),'LOOKUP TABLES AND DROPDOWN LIST'!D86,'LOOKUP TABLES AND DROPDOWN LIST'!G86)</f>
        <v>-4.04173763835482+2.32429574333195i</v>
      </c>
      <c r="K86" s="123">
        <f t="shared" si="5"/>
        <v>13.372194613453845</v>
      </c>
      <c r="L86" s="123">
        <f t="shared" si="6"/>
        <v>150.09793837240304</v>
      </c>
      <c r="R86" s="123">
        <f>MROUND(L102,5)</f>
        <v>55</v>
      </c>
      <c r="S86" s="123">
        <f>B102</f>
        <v>1995.2623149688804</v>
      </c>
    </row>
    <row r="87" spans="1:24">
      <c r="A87" s="130">
        <v>1.8</v>
      </c>
      <c r="B87" s="123">
        <f t="shared" si="1"/>
        <v>63.095734448019364</v>
      </c>
      <c r="C87" s="123">
        <f t="shared" si="7"/>
        <v>396.44219162950014</v>
      </c>
      <c r="D87" s="123" t="str">
        <f>IMDIV(((CTRmin/100)*0.1),COMPLEX(1,'LOOKUP TABLES AND DROPDOWN LIST'!C87*((Copto*nF)+(Cext*uF))*((R_fb4*kOhms*Requ*kOhms)/((R_fb4*kOhms)+(Requ*kOhms)))))</f>
        <v>0.0499652046693973-0.00131854306531994i</v>
      </c>
      <c r="E87" s="123">
        <f>20*LOG(IMABS(D87))</f>
        <v>-26.023623249396827</v>
      </c>
      <c r="F87" s="123">
        <f t="shared" si="3"/>
        <v>-1.5116404271211554</v>
      </c>
      <c r="G87" s="123" t="str">
        <f>IMDIV((Vout_cv/(2*Iocc)),COMPLEX(1,'LOOKUP TABLES AND DROPDOWN LIST'!C87*(Cout*uF)*(Vout_cv/(2*Iocc))))</f>
        <v>1.4374000119613-0.990765871126283i</v>
      </c>
      <c r="H87" s="123">
        <f t="shared" si="4"/>
        <v>4.8397731730437474</v>
      </c>
      <c r="I87" s="123">
        <f t="shared" si="0"/>
        <v>-34.577578115062856</v>
      </c>
      <c r="J87" s="123" t="str">
        <f>IMPRODUCT((1/(R_tl*kOhms)),G_fb1,(G_fb2*kOhms),(K_fm4*kHz),(G_p4*uC),'LOOKUP TABLES AND DROPDOWN LIST'!D87,'LOOKUP TABLES AND DROPDOWN LIST'!G87)</f>
        <v>-3.53623844213495+2.5776503052488i</v>
      </c>
      <c r="K87" s="123">
        <f t="shared" si="5"/>
        <v>12.821520733117652</v>
      </c>
      <c r="L87" s="123">
        <f t="shared" si="6"/>
        <v>143.91078145781592</v>
      </c>
      <c r="R87" s="123">
        <f>MROUND(L101,5)</f>
        <v>60</v>
      </c>
      <c r="S87" s="123">
        <f>B101</f>
        <v>1584.8931924611156</v>
      </c>
    </row>
    <row r="88" spans="1:24">
      <c r="A88" s="130">
        <v>1.9</v>
      </c>
      <c r="B88" s="123">
        <f t="shared" si="1"/>
        <v>79.432823472428197</v>
      </c>
      <c r="C88" s="123">
        <f t="shared" si="7"/>
        <v>499.09114934975059</v>
      </c>
      <c r="D88" s="123" t="str">
        <f>IMDIV(((CTRmin/100)*0.1),COMPLEX(1,'LOOKUP TABLES AND DROPDOWN LIST'!C88*((Copto*nF)+(Cext*uF))*((R_fb4*kOhms*Requ*kOhms)/((R_fb4*kOhms)+(Requ*kOhms)))))</f>
        <v>0.0499448755547586-0.00165927199627i</v>
      </c>
      <c r="E88" s="123">
        <f t="shared" si="2"/>
        <v>-26.025390603083586</v>
      </c>
      <c r="F88" s="123">
        <f t="shared" si="3"/>
        <v>-1.9027843871506371</v>
      </c>
      <c r="G88" s="123" t="str">
        <f>IMDIV((Vout_cv/(2*Iocc)),COMPLEX(1,'LOOKUP TABLES AND DROPDOWN LIST'!C88*(Cout*uF)*(Vout_cv/(2*Iocc))))</f>
        <v>1.20954289405592-1.04957787750928i</v>
      </c>
      <c r="H88" s="123">
        <f t="shared" si="4"/>
        <v>4.0902094753889928</v>
      </c>
      <c r="I88" s="123">
        <f t="shared" si="0"/>
        <v>-40.949730306794144</v>
      </c>
      <c r="J88" s="123" t="str">
        <f>IMPRODUCT((1/(R_tl*kOhms)),G_fb1,(G_fb2*kOhms),(K_fm4*kHz),(G_p4*uC),'LOOKUP TABLES AND DROPDOWN LIST'!D88,'LOOKUP TABLES AND DROPDOWN LIST'!G88)</f>
        <v>-2.94223080891115+2.72954899155489i</v>
      </c>
      <c r="K88" s="123">
        <f t="shared" si="5"/>
        <v>12.070189681776146</v>
      </c>
      <c r="L88" s="123">
        <f t="shared" si="6"/>
        <v>137.14748530605524</v>
      </c>
      <c r="R88" s="123">
        <f>MROUND(L100,5)</f>
        <v>65</v>
      </c>
      <c r="S88" s="123">
        <f>B100</f>
        <v>1258.925411794168</v>
      </c>
    </row>
    <row r="89" spans="1:24">
      <c r="A89" s="130">
        <v>2</v>
      </c>
      <c r="B89" s="123">
        <f t="shared" si="1"/>
        <v>100</v>
      </c>
      <c r="C89" s="123">
        <f>2*PI()*B89</f>
        <v>628.31853071795865</v>
      </c>
      <c r="D89" s="123" t="str">
        <f>IMDIV(((CTRmin/100)*0.1),COMPLEX(1,'LOOKUP TABLES AND DROPDOWN LIST'!C89*((Copto*nF)+(Cext*uF))*((R_fb4*kOhms*Requ*kOhms)/((R_fb4*kOhms)+(Requ*kOhms)))))</f>
        <v>0.0499126899428636-0.00208755354679599i</v>
      </c>
      <c r="E89" s="123">
        <f t="shared" si="2"/>
        <v>-26.028190197497302</v>
      </c>
      <c r="F89" s="123">
        <f t="shared" si="3"/>
        <v>-2.3949488460585684</v>
      </c>
      <c r="G89" s="123" t="str">
        <f>IMDIV((Vout_cv/(2*Iocc)),COMPLEX(1,'LOOKUP TABLES AND DROPDOWN LIST'!C89*(Cout*uF)*(Vout_cv/(2*Iocc))))</f>
        <v>0.966677084605046-1.05602650239483i</v>
      </c>
      <c r="H89" s="123">
        <f t="shared" si="4"/>
        <v>3.1168109679251947</v>
      </c>
      <c r="I89" s="123">
        <f t="shared" si="0"/>
        <v>-47.529297280006084</v>
      </c>
      <c r="J89" s="123" t="str">
        <f>IMPRODUCT((1/(R_tl*kOhms)),G_fb1,(G_fb2*kOhms),(K_fm4*kHz),(G_p4*uC),'LOOKUP TABLES AND DROPDOWN LIST'!D89,'LOOKUP TABLES AND DROPDOWN LIST'!G89)</f>
        <v>-2.30914108342136+2.7445495978523i</v>
      </c>
      <c r="K89" s="123">
        <f t="shared" si="5"/>
        <v>11.093991579898624</v>
      </c>
      <c r="L89" s="123">
        <f t="shared" si="6"/>
        <v>130.07575387393541</v>
      </c>
      <c r="R89" s="123">
        <f>MROUND(L99,5)</f>
        <v>75</v>
      </c>
      <c r="S89" s="123">
        <f>B99</f>
        <v>1000</v>
      </c>
    </row>
    <row r="90" spans="1:24">
      <c r="A90" s="130">
        <v>2.1</v>
      </c>
      <c r="B90" s="123">
        <f t="shared" si="1"/>
        <v>125.89254117941677</v>
      </c>
      <c r="C90" s="123">
        <f>2*PI()*B90</f>
        <v>791.0061650220124</v>
      </c>
      <c r="D90" s="123" t="str">
        <f>IMDIV(((CTRmin/100)*0.1),COMPLEX(1,'LOOKUP TABLES AND DROPDOWN LIST'!C90*((Copto*nF)+(Cext*uF))*((R_fb4*kOhms*Requ*kOhms)/((R_fb4*kOhms)+(Requ*kOhms)))))</f>
        <v>0.0498617640708556-0.00262539278682541i</v>
      </c>
      <c r="E90" s="123">
        <f t="shared" si="2"/>
        <v>-26.032623562197394</v>
      </c>
      <c r="F90" s="123">
        <f t="shared" si="3"/>
        <v>-3.0140358828757927</v>
      </c>
      <c r="G90" s="123" t="str">
        <f>IMDIV((Vout_cv/(2*Iocc)),COMPLEX(1,'LOOKUP TABLES AND DROPDOWN LIST'!C90*(Cout*uF)*(Vout_cv/(2*Iocc))))</f>
        <v>0.733312807857029-1.00851570185803i</v>
      </c>
      <c r="H90" s="123">
        <f t="shared" si="4"/>
        <v>1.9168894350969155</v>
      </c>
      <c r="I90" s="123">
        <f t="shared" si="0"/>
        <v>-53.978318055444653</v>
      </c>
      <c r="J90" s="123" t="str">
        <f>IMPRODUCT((1/(R_tl*kOhms)),G_fb1,(G_fb2*kOhms),(K_fm4*kHz),(G_p4*uC),'LOOKUP TABLES AND DROPDOWN LIST'!D90,'LOOKUP TABLES AND DROPDOWN LIST'!G90)</f>
        <v>-1.70090410901592+2.61839759707677i</v>
      </c>
      <c r="K90" s="123">
        <f t="shared" si="5"/>
        <v>9.8896366823702522</v>
      </c>
      <c r="L90" s="123">
        <f t="shared" si="6"/>
        <v>123.00764606167957</v>
      </c>
      <c r="R90" s="123">
        <f>MROUND(L98,5)</f>
        <v>80</v>
      </c>
      <c r="S90" s="123">
        <f>B98</f>
        <v>794.32823472428208</v>
      </c>
    </row>
    <row r="91" spans="1:24">
      <c r="A91" s="130">
        <v>2.2000000000000002</v>
      </c>
      <c r="B91" s="123">
        <f t="shared" si="1"/>
        <v>158.48931924611153</v>
      </c>
      <c r="C91" s="123">
        <f t="shared" ref="C91:C94" si="8">2*PI()*B91</f>
        <v>995.81776203206277</v>
      </c>
      <c r="D91" s="123" t="str">
        <f>IMDIV(((CTRmin/100)*0.1),COMPLEX(1,'LOOKUP TABLES AND DROPDOWN LIST'!C91*((Copto*nF)+(Cext*uF))*((R_fb4*kOhms*Requ*kOhms)/((R_fb4*kOhms)+(Requ*kOhms)))))</f>
        <v>0.0497812645264411-0.00329983764305929i</v>
      </c>
      <c r="E91" s="123">
        <f t="shared" si="2"/>
        <v>-26.039640714532688</v>
      </c>
      <c r="F91" s="123">
        <f t="shared" si="3"/>
        <v>-3.7924023043368589</v>
      </c>
      <c r="G91" s="123" t="str">
        <f>IMDIV((Vout_cv/(2*Iocc)),COMPLEX(1,'LOOKUP TABLES AND DROPDOWN LIST'!C91*(Cout*uF)*(Vout_cv/(2*Iocc))))</f>
        <v>0.530384114251609-0.918298556788472i</v>
      </c>
      <c r="H91" s="123">
        <f t="shared" si="4"/>
        <v>0.50990181032102611</v>
      </c>
      <c r="I91" s="123">
        <f t="shared" si="0"/>
        <v>-59.990445589357087</v>
      </c>
      <c r="J91" s="123" t="str">
        <f>IMPRODUCT((1/(R_tl*kOhms)),G_fb1,(G_fb2*kOhms),(K_fm4*kHz),(G_p4*uC),'LOOKUP TABLES AND DROPDOWN LIST'!D91,'LOOKUP TABLES AND DROPDOWN LIST'!G91)</f>
        <v>-1.17214726157819+2.38031874140723i</v>
      </c>
      <c r="K91" s="123">
        <f t="shared" si="5"/>
        <v>8.4756319052590854</v>
      </c>
      <c r="L91" s="123">
        <f t="shared" si="6"/>
        <v>116.21715210630603</v>
      </c>
      <c r="R91" s="123">
        <f>MROUND(L97,5)</f>
        <v>85</v>
      </c>
      <c r="S91" s="123">
        <f>B97</f>
        <v>630.95734448019323</v>
      </c>
    </row>
    <row r="92" spans="1:24">
      <c r="A92" s="130">
        <v>2.2999999999999998</v>
      </c>
      <c r="B92" s="123">
        <f t="shared" si="1"/>
        <v>199.52623149688802</v>
      </c>
      <c r="C92" s="123">
        <f t="shared" si="8"/>
        <v>1253.6602861381596</v>
      </c>
      <c r="D92" s="123" t="str">
        <f>IMDIV(((CTRmin/100)*0.1),COMPLEX(1,'LOOKUP TABLES AND DROPDOWN LIST'!C92*((Copto*nF)+(Cext*uF))*((R_fb4*kOhms*Requ*kOhms)/((R_fb4*kOhms)+(Requ*kOhms)))))</f>
        <v>0.0496542124167629-0.00414364695758895i</v>
      </c>
      <c r="E92" s="123">
        <f t="shared" si="2"/>
        <v>-26.050738978828619</v>
      </c>
      <c r="F92" s="123">
        <f t="shared" si="3"/>
        <v>-4.7702833933080369</v>
      </c>
      <c r="G92" s="123" t="str">
        <f>IMDIV((Vout_cv/(2*Iocc)),COMPLEX(1,'LOOKUP TABLES AND DROPDOWN LIST'!C92*(Cout*uF)*(Vout_cv/(2*Iocc))))</f>
        <v>0.368684478007083-0.803615394353378i</v>
      </c>
      <c r="H92" s="123">
        <f t="shared" si="4"/>
        <v>-1.0694547308039353</v>
      </c>
      <c r="I92" s="123">
        <f t="shared" si="0"/>
        <v>-65.355183042573842</v>
      </c>
      <c r="J92" s="123" t="str">
        <f>IMPRODUCT((1/(R_tl*kOhms)),G_fb1,(G_fb2*kOhms),(K_fm4*kHz),(G_p4*uC),'LOOKUP TABLES AND DROPDOWN LIST'!D92,'LOOKUP TABLES AND DROPDOWN LIST'!G92)</f>
        <v>-0.75108432566144+2.07773251148848i</v>
      </c>
      <c r="K92" s="123">
        <f t="shared" si="5"/>
        <v>6.88517709983818</v>
      </c>
      <c r="L92" s="123">
        <f t="shared" si="6"/>
        <v>109.87453356411815</v>
      </c>
      <c r="R92" s="123">
        <f>MROUND(L96,5)</f>
        <v>90</v>
      </c>
      <c r="S92" s="123">
        <f>B96</f>
        <v>501.18723362727269</v>
      </c>
    </row>
    <row r="93" spans="1:24">
      <c r="A93" s="130">
        <v>2.4</v>
      </c>
      <c r="B93" s="123">
        <f t="shared" si="1"/>
        <v>251.18864315095806</v>
      </c>
      <c r="C93" s="123">
        <f t="shared" si="8"/>
        <v>1578.2647919764759</v>
      </c>
      <c r="D93" s="123" t="str">
        <f>IMDIV(((CTRmin/100)*0.1),COMPLEX(1,'LOOKUP TABLES AND DROPDOWN LIST'!C93*((Copto*nF)+(Cext*uF))*((R_fb4*kOhms*Requ*kOhms)/((R_fb4*kOhms)+(Requ*kOhms)))))</f>
        <v>0.049454171476605-0.00519552667135841i</v>
      </c>
      <c r="E93" s="123">
        <f>20*LOG(IMABS(D93))</f>
        <v>-26.068270652947433</v>
      </c>
      <c r="F93" s="123">
        <f t="shared" si="3"/>
        <v>-5.9973458404924864</v>
      </c>
      <c r="G93" s="123" t="str">
        <f>IMDIV((Vout_cv/(2*Iocc)),COMPLEX(1,'LOOKUP TABLES AND DROPDOWN LIST'!C93*(Cout*uF)*(Vout_cv/(2*Iocc))))</f>
        <v>0.248575241729699-0.6821050491647i</v>
      </c>
      <c r="H93" s="123">
        <f t="shared" si="4"/>
        <v>-2.7814245640896598</v>
      </c>
      <c r="I93" s="123">
        <f t="shared" si="0"/>
        <v>-69.977061252248021</v>
      </c>
      <c r="J93" s="123" t="str">
        <f>IMPRODUCT((1/(R_tl*kOhms)),G_fb1,(G_fb2*kOhms),(K_fm4*kHz),(G_p4*uC),'LOOKUP TABLES AND DROPDOWN LIST'!D93,'LOOKUP TABLES AND DROPDOWN LIST'!G93)</f>
        <v>-0.438769339248402+1.75646493713559i</v>
      </c>
      <c r="K93" s="123">
        <f t="shared" si="5"/>
        <v>5.1556755924336484</v>
      </c>
      <c r="L93" s="123">
        <f t="shared" si="6"/>
        <v>104.02559290725949</v>
      </c>
      <c r="R93" s="123">
        <f>MROUND(L95,5)</f>
        <v>95</v>
      </c>
      <c r="S93" s="123">
        <f>B95</f>
        <v>398.10717055349761</v>
      </c>
    </row>
    <row r="94" spans="1:24">
      <c r="A94" s="130">
        <v>2.5</v>
      </c>
      <c r="B94" s="123">
        <f t="shared" si="1"/>
        <v>316.22776601683825</v>
      </c>
      <c r="C94" s="123">
        <f t="shared" si="8"/>
        <v>1986.917653159222</v>
      </c>
      <c r="D94" s="123" t="str">
        <f>IMDIV(((CTRmin/100)*0.1),COMPLEX(1,'LOOKUP TABLES AND DROPDOWN LIST'!C94*((Copto*nF)+(Cext*uF))*((R_fb4*kOhms*Requ*kOhms)/((R_fb4*kOhms)+(Requ*kOhms)))))</f>
        <v>0.0491404086039392-0.00649928245538377i</v>
      </c>
      <c r="E94" s="123">
        <f t="shared" si="2"/>
        <v>-26.095912323335469</v>
      </c>
      <c r="F94" s="123">
        <f t="shared" si="3"/>
        <v>-7.5341795449639868</v>
      </c>
      <c r="G94" s="123" t="str">
        <f>IMDIV((Vout_cv/(2*Iocc)),COMPLEX(1,'LOOKUP TABLES AND DROPDOWN LIST'!C94*(Cout*uF)*(Vout_cv/(2*Iocc))))</f>
        <v>0.163932899575395-0.56631689017019i</v>
      </c>
      <c r="H94" s="123">
        <f t="shared" si="4"/>
        <v>-4.5893420626641577</v>
      </c>
      <c r="I94" s="123">
        <f t="shared" si="0"/>
        <v>-73.855748693967456</v>
      </c>
      <c r="J94" s="123" t="str">
        <f>IMPRODUCT((1/(R_tl*kOhms)),G_fb1,(G_fb2*kOhms),(K_fm4*kHz),(G_p4*uC),'LOOKUP TABLES AND DROPDOWN LIST'!D94,'LOOKUP TABLES AND DROPDOWN LIST'!G94)</f>
        <v>-0.219408862523944+1.44905065608582i</v>
      </c>
      <c r="K94" s="123">
        <f t="shared" si="5"/>
        <v>3.3201164234711151</v>
      </c>
      <c r="L94" s="123">
        <f t="shared" si="6"/>
        <v>98.610071761068554</v>
      </c>
      <c r="R94" s="123">
        <f>MROUND(L94,5)</f>
        <v>100</v>
      </c>
      <c r="S94" s="123">
        <f>B94</f>
        <v>316.22776601683825</v>
      </c>
    </row>
    <row r="95" spans="1:24">
      <c r="A95" s="130">
        <v>2.6</v>
      </c>
      <c r="B95" s="123">
        <f>10^A95</f>
        <v>398.10717055349761</v>
      </c>
      <c r="C95" s="123">
        <f>2*PI()*B95</f>
        <v>2501.3811247045737</v>
      </c>
      <c r="D95" s="123" t="str">
        <f>IMDIV(((CTRmin/100)*0.1),COMPLEX(1,'LOOKUP TABLES AND DROPDOWN LIST'!C95*((Copto*nF)+(Cext*uF))*((R_fb4*kOhms*Requ*kOhms)/((R_fb4*kOhms)+(Requ*kOhms)))))</f>
        <v>0.0486512021274411-0.00810065663554032i</v>
      </c>
      <c r="E95" s="123">
        <f t="shared" si="2"/>
        <v>-26.139364199010473</v>
      </c>
      <c r="F95" s="123">
        <f t="shared" si="3"/>
        <v>-9.4532960077574497</v>
      </c>
      <c r="G95" s="123" t="str">
        <f>IMDIV((Vout_cv/(2*Iocc)),COMPLEX(1,'LOOKUP TABLES AND DROPDOWN LIST'!C95*(Cout*uF)*(Vout_cv/(2*Iocc))))</f>
        <v>0.106472619300496-0.463053671535658i</v>
      </c>
      <c r="H95" s="123">
        <f t="shared" si="4"/>
        <v>-6.4636238868530969</v>
      </c>
      <c r="I95" s="123">
        <f t="shared" si="0"/>
        <v>-77.050728774355349</v>
      </c>
      <c r="J95" s="123" t="str">
        <f>IMPRODUCT((1/(R_tl*kOhms)),G_fb1,(G_fb2*kOhms),(K_fm4*kHz),(G_p4*uC),'LOOKUP TABLES AND DROPDOWN LIST'!D95,'LOOKUP TABLES AND DROPDOWN LIST'!G95)</f>
        <v>-0.0716630580919154+1.17303291335572i</v>
      </c>
      <c r="K95" s="123">
        <f t="shared" si="5"/>
        <v>1.402382723607166</v>
      </c>
      <c r="L95" s="123">
        <f t="shared" si="6"/>
        <v>93.495975217887192</v>
      </c>
      <c r="R95" s="123">
        <f>MROUND(L93,5)</f>
        <v>105</v>
      </c>
      <c r="S95" s="123">
        <f>B93</f>
        <v>251.18864315095806</v>
      </c>
    </row>
    <row r="96" spans="1:24">
      <c r="A96" s="130">
        <v>2.7</v>
      </c>
      <c r="B96" s="123">
        <f t="shared" si="1"/>
        <v>501.18723362727269</v>
      </c>
      <c r="C96" s="123">
        <f>2*PI()*B96</f>
        <v>3149.0522624728624</v>
      </c>
      <c r="D96" s="123" t="str">
        <f>IMDIV(((CTRmin/100)*0.1),COMPLEX(1,'LOOKUP TABLES AND DROPDOWN LIST'!C96*((Copto*nF)+(Cext*uF))*((R_fb4*kOhms*Requ*kOhms)/((R_fb4*kOhms)+(Requ*kOhms)))))</f>
        <v>0.0478955042806121-0.0100397153214856i</v>
      </c>
      <c r="E96" s="123">
        <f t="shared" si="2"/>
        <v>-26.207352454593085</v>
      </c>
      <c r="F96" s="123">
        <f>180/PI()*IMARGUMENT(D96)</f>
        <v>-11.838763984117254</v>
      </c>
      <c r="G96" s="123" t="str">
        <f>IMDIV((Vout_cv/(2*Iocc)),COMPLEX(1,'LOOKUP TABLES AND DROPDOWN LIST'!C96*(Cout*uF)*(Vout_cv/(2*Iocc))))</f>
        <v>0.0684481402808198-0.374761567568812i</v>
      </c>
      <c r="H96" s="123">
        <f>20*LOG(IMABS(G96))</f>
        <v>-8.3823867387456126</v>
      </c>
      <c r="I96" s="123">
        <f t="shared" si="0"/>
        <v>-79.649330515592666</v>
      </c>
      <c r="J96" s="123" t="str">
        <f>IMPRODUCT((1/(R_tl*kOhms)),G_fb1,(G_fb2*kOhms),(K_fm4*kHz),(G_p4*uC),'LOOKUP TABLES AND DROPDOWN LIST'!D96,'LOOKUP TABLES AND DROPDOWN LIST'!G96)</f>
        <v>0.024279549988774+0.93462003622894i</v>
      </c>
      <c r="K96" s="123">
        <f t="shared" si="5"/>
        <v>-0.58436838386796119</v>
      </c>
      <c r="L96" s="123">
        <f t="shared" si="6"/>
        <v>88.511905500290084</v>
      </c>
      <c r="R96" s="123">
        <f>MROUND(L92,5)</f>
        <v>110</v>
      </c>
      <c r="S96" s="123">
        <f>B92</f>
        <v>199.52623149688802</v>
      </c>
    </row>
    <row r="97" spans="1:19">
      <c r="A97" s="130">
        <v>2.8</v>
      </c>
      <c r="B97" s="123">
        <f t="shared" si="1"/>
        <v>630.95734448019323</v>
      </c>
      <c r="C97" s="123">
        <f t="shared" ref="C97:C100" si="9">2*PI()*B97</f>
        <v>3964.4219162949989</v>
      </c>
      <c r="D97" s="123" t="str">
        <f>IMDIV(((CTRmin/100)*0.1),COMPLEX(1,'LOOKUP TABLES AND DROPDOWN LIST'!C97*((Copto*nF)+(Cext*uF))*((R_fb4*kOhms*Requ*kOhms)/((R_fb4*kOhms)+(Requ*kOhms)))))</f>
        <v>0.0467447374539752-0.0123355742897398i</v>
      </c>
      <c r="E97" s="123">
        <f t="shared" si="2"/>
        <v>-26.312972707943874</v>
      </c>
      <c r="F97" s="123">
        <f t="shared" si="3"/>
        <v>-14.78290648047648</v>
      </c>
      <c r="G97" s="123" t="str">
        <f>IMDIV((Vout_cv/(2*Iocc)),COMPLEX(1,'LOOKUP TABLES AND DROPDOWN LIST'!C97*(Cout*uF)*(Vout_cv/(2*Iocc))))</f>
        <v>0.043708577983572-0.30127290233215i</v>
      </c>
      <c r="H97" s="123">
        <f t="shared" si="4"/>
        <v>-10.330336494629337</v>
      </c>
      <c r="I97" s="123">
        <f t="shared" si="0"/>
        <v>-81.745141182985861</v>
      </c>
      <c r="J97" s="123" t="str">
        <f>IMPRODUCT((1/(R_tl*kOhms)),G_fb1,(G_fb2*kOhms),(K_fm4*kHz),(G_p4*uC),'LOOKUP TABLES AND DROPDOWN LIST'!D97,'LOOKUP TABLES AND DROPDOWN LIST'!G97)</f>
        <v>0.0839119344201397+0.733293923506274i</v>
      </c>
      <c r="K97" s="123">
        <f t="shared" si="5"/>
        <v>-2.6379383931024751</v>
      </c>
      <c r="L97" s="123">
        <f t="shared" si="6"/>
        <v>83.471952336537669</v>
      </c>
      <c r="R97" s="123">
        <f>MROUND(L91,5)</f>
        <v>115</v>
      </c>
      <c r="S97" s="123">
        <f>B91</f>
        <v>158.48931924611153</v>
      </c>
    </row>
    <row r="98" spans="1:19">
      <c r="A98" s="130">
        <v>2.9</v>
      </c>
      <c r="B98" s="123">
        <f t="shared" si="1"/>
        <v>794.32823472428208</v>
      </c>
      <c r="C98" s="123">
        <f t="shared" si="9"/>
        <v>4990.9114934975069</v>
      </c>
      <c r="D98" s="123" t="str">
        <f>IMDIV(((CTRmin/100)*0.1),COMPLEX(1,'LOOKUP TABLES AND DROPDOWN LIST'!C98*((Copto*nF)+(Cext*uF))*((R_fb4*kOhms*Requ*kOhms)/((R_fb4*kOhms)+(Requ*kOhms)))))</f>
        <v>0.0450300118034051-0.0149599006398923i</v>
      </c>
      <c r="E98" s="123">
        <f t="shared" si="2"/>
        <v>-26.475279348624294</v>
      </c>
      <c r="F98" s="123">
        <f t="shared" si="3"/>
        <v>-18.377553802952185</v>
      </c>
      <c r="G98" s="123" t="str">
        <f>IMDIV((Vout_cv/(2*Iocc)),COMPLEX(1,'LOOKUP TABLES AND DROPDOWN LIST'!C98*(Cout*uF)*(Vout_cv/(2*Iocc))))</f>
        <v>0.0277896589093225-0.241144083091982i</v>
      </c>
      <c r="H98" s="123">
        <f t="shared" si="4"/>
        <v>-12.297171105570293</v>
      </c>
      <c r="I98" s="123">
        <f t="shared" si="0"/>
        <v>-83.426182104023937</v>
      </c>
      <c r="J98" s="123" t="str">
        <f>IMPRODUCT((1/(R_tl*kOhms)),G_fb1,(G_fb2*kOhms),(K_fm4*kHz),(G_p4*uC),'LOOKUP TABLES AND DROPDOWN LIST'!D98,'LOOKUP TABLES AND DROPDOWN LIST'!G98)</f>
        <v>0.118158909016878+0.565410619394276i</v>
      </c>
      <c r="K98" s="123">
        <f t="shared" si="5"/>
        <v>-4.7670796447238493</v>
      </c>
      <c r="L98" s="123">
        <f t="shared" si="6"/>
        <v>78.196264093023913</v>
      </c>
      <c r="R98" s="123">
        <f>MROUND(L90,5)</f>
        <v>125</v>
      </c>
      <c r="S98" s="123">
        <f>B90</f>
        <v>125.89254117941677</v>
      </c>
    </row>
    <row r="99" spans="1:19">
      <c r="A99" s="130">
        <v>3</v>
      </c>
      <c r="B99" s="123">
        <f t="shared" si="1"/>
        <v>1000</v>
      </c>
      <c r="C99" s="123">
        <f t="shared" si="9"/>
        <v>6283.1853071795858</v>
      </c>
      <c r="D99" s="123" t="str">
        <f>IMDIV(((CTRmin/100)*0.1),COMPLEX(1,'LOOKUP TABLES AND DROPDOWN LIST'!C99*((Copto*nF)+(Cext*uF))*((R_fb4*kOhms*Requ*kOhms)/((R_fb4*kOhms)+(Requ*kOhms)))))</f>
        <v>0.0425558871964886-0.0177986186189874i</v>
      </c>
      <c r="E99" s="123">
        <f t="shared" si="2"/>
        <v>-26.720703466349608</v>
      </c>
      <c r="F99" s="123">
        <f t="shared" si="3"/>
        <v>-22.696683099232569</v>
      </c>
      <c r="G99" s="123" t="str">
        <f>IMDIV((Vout_cv/(2*Iocc)),COMPLEX(1,'LOOKUP TABLES AND DROPDOWN LIST'!C99*(Cout*uF)*(Vout_cv/(2*Iocc))))</f>
        <v>0.0176193108607286-0.192478538274905i</v>
      </c>
      <c r="H99" s="123">
        <f t="shared" si="4"/>
        <v>-14.276114088630241</v>
      </c>
      <c r="I99" s="123">
        <f t="shared" si="0"/>
        <v>-84.76977252883529</v>
      </c>
      <c r="J99" s="123" t="str">
        <f>IMPRODUCT((1/(R_tl*kOhms)),G_fb1,(G_fb2*kOhms),(K_fm4*kHz),(G_p4*uC),'LOOKUP TABLES AND DROPDOWN LIST'!D99,'LOOKUP TABLES AND DROPDOWN LIST'!G99)</f>
        <v>0.134203000812746+0.426508068083136i</v>
      </c>
      <c r="K99" s="123">
        <f t="shared" si="5"/>
        <v>-6.991446745509112</v>
      </c>
      <c r="L99" s="123">
        <f t="shared" si="6"/>
        <v>72.533544371932109</v>
      </c>
      <c r="R99" s="123">
        <f>MROUND(L89,5)</f>
        <v>130</v>
      </c>
      <c r="S99" s="123">
        <f>B89</f>
        <v>100</v>
      </c>
    </row>
    <row r="100" spans="1:19">
      <c r="A100" s="130">
        <v>3.1</v>
      </c>
      <c r="B100" s="123">
        <f t="shared" si="1"/>
        <v>1258.925411794168</v>
      </c>
      <c r="C100" s="123">
        <f t="shared" si="9"/>
        <v>7910.0616502201265</v>
      </c>
      <c r="D100" s="123" t="str">
        <f>IMDIV(((CTRmin/100)*0.1),COMPLEX(1,'LOOKUP TABLES AND DROPDOWN LIST'!C100*((Copto*nF)+(Cext*uF))*((R_fb4*kOhms*Requ*kOhms)/((R_fb4*kOhms)+(Requ*kOhms)))))</f>
        <v>0.0391469612727194-0.0206122169294857i</v>
      </c>
      <c r="E100" s="123">
        <f t="shared" si="2"/>
        <v>-27.083319394541483</v>
      </c>
      <c r="F100" s="123">
        <f t="shared" si="3"/>
        <v>-27.768342616459588</v>
      </c>
      <c r="G100" s="123" t="str">
        <f>IMDIV((Vout_cv/(2*Iocc)),COMPLEX(1,'LOOKUP TABLES AND DROPDOWN LIST'!C100*(Cout*uF)*(Vout_cv/(2*Iocc))))</f>
        <v>0.0111512306396158-0.153361445137687i</v>
      </c>
      <c r="H100" s="123">
        <f t="shared" si="4"/>
        <v>-16.262775284594223</v>
      </c>
      <c r="I100" s="123">
        <f t="shared" si="0"/>
        <v>-85.841223245255605</v>
      </c>
      <c r="J100" s="123" t="str">
        <f>IMPRODUCT((1/(R_tl*kOhms)),G_fb1,(G_fb2*kOhms),(K_fm4*kHz),(G_p4*uC),'LOOKUP TABLES AND DROPDOWN LIST'!D100,'LOOKUP TABLES AND DROPDOWN LIST'!G100)</f>
        <v>0.136637062371837+0.312607604551647i</v>
      </c>
      <c r="K100" s="123">
        <f t="shared" si="5"/>
        <v>-9.3407238696649681</v>
      </c>
      <c r="L100" s="123">
        <f t="shared" si="6"/>
        <v>66.390434138284817</v>
      </c>
      <c r="R100" s="123">
        <f>MROUND(L88,5)</f>
        <v>135</v>
      </c>
      <c r="S100" s="123">
        <f>B88</f>
        <v>79.432823472428197</v>
      </c>
    </row>
    <row r="101" spans="1:19">
      <c r="A101" s="130">
        <v>3.2</v>
      </c>
      <c r="B101" s="123">
        <f t="shared" si="1"/>
        <v>1584.8931924611156</v>
      </c>
      <c r="C101" s="123">
        <f>2*PI()*B101</f>
        <v>9958.17762032063</v>
      </c>
      <c r="D101" s="123" t="str">
        <f>IMDIV(((CTRmin/100)*0.1),COMPLEX(1,'LOOKUP TABLES AND DROPDOWN LIST'!C101*((Copto*nF)+(Cext*uF))*((R_fb4*kOhms*Requ*kOhms)/((R_fb4*kOhms)+(Requ*kOhms)))))</f>
        <v>0.0347368608044016-0.0230259319393528i</v>
      </c>
      <c r="E101" s="123">
        <f>20*LOG(IMABS(D101))</f>
        <v>-27.602394272905801</v>
      </c>
      <c r="F101" s="123">
        <f t="shared" si="3"/>
        <v>-33.539099503881197</v>
      </c>
      <c r="G101" s="123" t="str">
        <f>IMDIV((Vout_cv/(2*Iocc)),COMPLEX(1,'LOOKUP TABLES AND DROPDOWN LIST'!C101*(Cout*uF)*(Vout_cv/(2*Iocc))))</f>
        <v>0.00704963339625119-0.122056223022439i</v>
      </c>
      <c r="H101" s="123">
        <f t="shared" si="4"/>
        <v>-18.254337939701234</v>
      </c>
      <c r="I101" s="123">
        <f t="shared" si="0"/>
        <v>-86.694425010082199</v>
      </c>
      <c r="J101" s="123" t="str">
        <f>IMPRODUCT((1/(R_tl*kOhms)),G_fb1,(G_fb2*kOhms),(K_fm4*kHz),(G_p4*uC),'LOOKUP TABLES AND DROPDOWN LIST'!D101,'LOOKUP TABLES AND DROPDOWN LIST'!G101)</f>
        <v>0.128662933830444+0.220767828145349i</v>
      </c>
      <c r="K101" s="123">
        <f t="shared" si="5"/>
        <v>-11.851361403136302</v>
      </c>
      <c r="L101" s="123">
        <f t="shared" si="6"/>
        <v>59.766475486036477</v>
      </c>
      <c r="R101" s="123">
        <f>MROUND(L87,5)</f>
        <v>145</v>
      </c>
      <c r="S101" s="123">
        <f>B87</f>
        <v>63.095734448019364</v>
      </c>
    </row>
    <row r="102" spans="1:19">
      <c r="A102" s="130">
        <v>3.3</v>
      </c>
      <c r="B102" s="123">
        <f t="shared" si="1"/>
        <v>1995.2623149688804</v>
      </c>
      <c r="C102" s="123">
        <f>2*PI()*B102</f>
        <v>12536.602861381598</v>
      </c>
      <c r="D102" s="123" t="str">
        <f>IMDIV(((CTRmin/100)*0.1),COMPLEX(1,'LOOKUP TABLES AND DROPDOWN LIST'!C102*((Copto*nF)+(Cext*uF))*((R_fb4*kOhms*Requ*kOhms)/((R_fb4*kOhms)+(Requ*kOhms)))))</f>
        <v>0.0294743329009184-0.0245963482064261i</v>
      </c>
      <c r="E102" s="123">
        <f>20*LOG(IMABS(D102))</f>
        <v>-28.315860112684778</v>
      </c>
      <c r="F102" s="123">
        <f t="shared" si="3"/>
        <v>-39.845017956775457</v>
      </c>
      <c r="G102" s="123" t="str">
        <f>IMDIV((Vout_cv/(2*Iocc)),COMPLEX(1,'LOOKUP TABLES AND DROPDOWN LIST'!C102*(Cout*uF)*(Vout_cv/(2*Iocc))))</f>
        <v>0.00445348237583454-0.0970718109709342i</v>
      </c>
      <c r="H102" s="123">
        <f t="shared" si="4"/>
        <v>-20.249005888477289</v>
      </c>
      <c r="I102" s="123">
        <f t="shared" si="0"/>
        <v>-87.37321327165921</v>
      </c>
      <c r="J102" s="123" t="str">
        <f>IMPRODUCT((1/(R_tl*kOhms)),G_fb1,(G_fb2*kOhms),(K_fm4*kHz),(G_p4*uC),'LOOKUP TABLES AND DROPDOWN LIST'!D102,'LOOKUP TABLES AND DROPDOWN LIST'!G102)</f>
        <v>0.113155259865382+0.148978091479889i</v>
      </c>
      <c r="K102" s="123">
        <f t="shared" si="5"/>
        <v>-14.55949519169131</v>
      </c>
      <c r="L102" s="123">
        <f t="shared" si="6"/>
        <v>52.781768771565375</v>
      </c>
      <c r="R102" s="123">
        <f>MROUND(L86,5)</f>
        <v>150</v>
      </c>
      <c r="S102" s="123">
        <f>B86</f>
        <v>50.118723362727238</v>
      </c>
    </row>
    <row r="103" spans="1:19">
      <c r="A103" s="130">
        <v>3.4</v>
      </c>
      <c r="B103" s="123">
        <f t="shared" si="1"/>
        <v>2511.8864315095811</v>
      </c>
      <c r="C103" s="123">
        <f t="shared" ref="C103:C109" si="10">2*PI()*B103</f>
        <v>15782.647919764762</v>
      </c>
      <c r="D103" s="123" t="str">
        <f>IMDIV(((CTRmin/100)*0.1),COMPLEX(1,'LOOKUP TABLES AND DROPDOWN LIST'!C103*((Copto*nF)+(Cext*uF))*((R_fb4*kOhms*Requ*kOhms)/((R_fb4*kOhms)+(Requ*kOhms)))))</f>
        <v>0.0237675827617008-0.0249696044772588i</v>
      </c>
      <c r="E103" s="123">
        <f t="shared" ref="E103:E109" si="11">20*LOG(IMABS(D103))</f>
        <v>-29.25044980811553</v>
      </c>
      <c r="F103" s="123">
        <f t="shared" si="3"/>
        <v>-46.412818751691148</v>
      </c>
      <c r="G103" s="123" t="str">
        <f>IMDIV((Vout_cv/(2*Iocc)),COMPLEX(1,'LOOKUP TABLES AND DROPDOWN LIST'!C103*(Cout*uF)*(Vout_cv/(2*Iocc))))</f>
        <v>0.00281213719591889-0.077166694757395i</v>
      </c>
      <c r="H103" s="123">
        <f t="shared" si="4"/>
        <v>-22.245638220127564</v>
      </c>
      <c r="I103" s="123">
        <f t="shared" si="0"/>
        <v>-87.912929619499565</v>
      </c>
      <c r="J103" s="123" t="str">
        <f>IMPRODUCT((1/(R_tl*kOhms)),G_fb1,(G_fb2*kOhms),(K_fm4*kHz),(G_p4*uC),'LOOKUP TABLES AND DROPDOWN LIST'!D103,'LOOKUP TABLES AND DROPDOWN LIST'!G103)</f>
        <v>0.0932776899864231+0.0954993033795277i</v>
      </c>
      <c r="K103" s="123">
        <f t="shared" si="5"/>
        <v>-17.49071721877236</v>
      </c>
      <c r="L103" s="123">
        <f t="shared" si="6"/>
        <v>45.674251628809309</v>
      </c>
      <c r="R103" s="123">
        <f>MROUND(L85,5)</f>
        <v>155</v>
      </c>
      <c r="S103" s="123">
        <f>B85</f>
        <v>39.810717055349755</v>
      </c>
    </row>
    <row r="104" spans="1:19">
      <c r="A104" s="130">
        <v>3.5</v>
      </c>
      <c r="B104" s="123">
        <f t="shared" si="1"/>
        <v>3162.2776601683804</v>
      </c>
      <c r="C104" s="123">
        <f t="shared" si="10"/>
        <v>19869.176531592209</v>
      </c>
      <c r="D104" s="123" t="str">
        <f>IMDIV(((CTRmin/100)*0.1),COMPLEX(1,'LOOKUP TABLES AND DROPDOWN LIST'!C104*((Copto*nF)+(Cext*uF))*((R_fb4*kOhms*Requ*kOhms)/((R_fb4*kOhms)+(Requ*kOhms)))))</f>
        <v>0.0181867405387423-0.0240536794589431i</v>
      </c>
      <c r="E104" s="123">
        <f t="shared" si="11"/>
        <v>-30.412751246863039</v>
      </c>
      <c r="F104" s="123">
        <f t="shared" si="3"/>
        <v>-52.907447377571579</v>
      </c>
      <c r="G104" s="123" t="str">
        <f>IMDIV((Vout_cv/(2*Iocc)),COMPLEX(1,'LOOKUP TABLES AND DROPDOWN LIST'!C104*(Cout*uF)*(Vout_cv/(2*Iocc))))</f>
        <v>0.00177520750289759-0.0613257006404247i</v>
      </c>
      <c r="H104" s="123">
        <f t="shared" si="4"/>
        <v>-24.243512020610108</v>
      </c>
      <c r="I104" s="123">
        <f t="shared" si="0"/>
        <v>-88.341910465258124</v>
      </c>
      <c r="J104" s="123" t="str">
        <f>IMPRODUCT((1/(R_tl*kOhms)),G_fb1,(G_fb2*kOhms),(K_fm4*kHz),(G_p4*uC),'LOOKUP TABLES AND DROPDOWN LIST'!D104,'LOOKUP TABLES AND DROPDOWN LIST'!G104)</f>
        <v>0.0723571995608157+0.0580741256257703i</v>
      </c>
      <c r="K104" s="123">
        <f t="shared" si="5"/>
        <v>-20.650892458002414</v>
      </c>
      <c r="L104" s="123">
        <f t="shared" si="6"/>
        <v>38.750642157170311</v>
      </c>
      <c r="R104" s="123">
        <f>MROUND(L84,5)</f>
        <v>160</v>
      </c>
      <c r="S104" s="123">
        <f>B84</f>
        <v>31.622776601683803</v>
      </c>
    </row>
    <row r="105" spans="1:19">
      <c r="A105" s="130">
        <v>3.6</v>
      </c>
      <c r="B105" s="123">
        <f t="shared" si="1"/>
        <v>3981.0717055349769</v>
      </c>
      <c r="C105" s="123">
        <f t="shared" si="10"/>
        <v>25013.811247045742</v>
      </c>
      <c r="D105" s="123" t="str">
        <f>IMDIV(((CTRmin/100)*0.1),COMPLEX(1,'LOOKUP TABLES AND DROPDOWN LIST'!C105*((Copto*nF)+(Cext*uF))*((R_fb4*kOhms*Requ*kOhms)/((R_fb4*kOhms)+(Requ*kOhms)))))</f>
        <v>0.0132542199796644-0.0220689068989355i</v>
      </c>
      <c r="E105" s="123">
        <f t="shared" si="11"/>
        <v>-31.786758213840383</v>
      </c>
      <c r="F105" s="123">
        <f>180/PI()*IMARGUMENT(D105)</f>
        <v>-59.011669986801827</v>
      </c>
      <c r="G105" s="123" t="str">
        <f>IMDIV((Vout_cv/(2*Iocc)),COMPLEX(1,'LOOKUP TABLES AND DROPDOWN LIST'!C105*(Cout*uF)*(Vout_cv/(2*Iocc))))</f>
        <v>0.00112042639781001-0.0487277912950697i</v>
      </c>
      <c r="H105" s="123">
        <f t="shared" si="4"/>
        <v>-26.242169943616194</v>
      </c>
      <c r="I105" s="123">
        <f t="shared" si="0"/>
        <v>-88.682796978752251</v>
      </c>
      <c r="J105" s="123" t="str">
        <f>IMPRODUCT((1/(R_tl*kOhms)),G_fb1,(G_fb2*kOhms),(K_fm4*kHz),(G_p4*uC),'LOOKUP TABLES AND DROPDOWN LIST'!D105,'LOOKUP TABLES AND DROPDOWN LIST'!G105)</f>
        <v>0.0531847198547268+0.0336291732572199i</v>
      </c>
      <c r="K105" s="123">
        <f t="shared" si="5"/>
        <v>-24.023557347985832</v>
      </c>
      <c r="L105" s="123">
        <f t="shared" si="6"/>
        <v>32.305533034445965</v>
      </c>
      <c r="R105" s="123">
        <f>MROUND(L83,5)</f>
        <v>165</v>
      </c>
      <c r="S105" s="123">
        <f>B83</f>
        <v>25.118864315095799</v>
      </c>
    </row>
    <row r="106" spans="1:19">
      <c r="A106" s="130">
        <v>3.7</v>
      </c>
      <c r="B106" s="123">
        <f>10^A106</f>
        <v>5011.8723362727324</v>
      </c>
      <c r="C106" s="123">
        <f t="shared" si="10"/>
        <v>31490.522624728659</v>
      </c>
      <c r="D106" s="123" t="str">
        <f>IMDIV(((CTRmin/100)*0.1),COMPLEX(1,'LOOKUP TABLES AND DROPDOWN LIST'!C106*((Copto*nF)+(Cext*uF))*((R_fb4*kOhms*Requ*kOhms)/((R_fb4*kOhms)+(Requ*kOhms)))))</f>
        <v>0.00926967623720768-0.0194308238198418i</v>
      </c>
      <c r="E106" s="123">
        <f t="shared" si="11"/>
        <v>-33.339654298959289</v>
      </c>
      <c r="F106" s="123">
        <f t="shared" si="3"/>
        <v>-64.496039646885293</v>
      </c>
      <c r="G106" s="123" t="str">
        <f>IMDIV((Vout_cv/(2*Iocc)),COMPLEX(1,'LOOKUP TABLES AND DROPDOWN LIST'!C106*(Cout*uF)*(Vout_cv/(2*Iocc))))</f>
        <v>0.000707079153214988-0.0387134100016346i</v>
      </c>
      <c r="H106" s="123">
        <f>20*LOG(IMABS(G106))</f>
        <v>-28.241322936835829</v>
      </c>
      <c r="I106" s="123">
        <f t="shared" si="0"/>
        <v>-88.953640423643648</v>
      </c>
      <c r="J106" s="123" t="str">
        <f>IMPRODUCT((1/(R_tl*kOhms)),G_fb1,(G_fb2*kOhms),(K_fm4*kHz),(G_p4*uC),'LOOKUP TABLES AND DROPDOWN LIST'!D106,'LOOKUP TABLES AND DROPDOWN LIST'!G106)</f>
        <v>0.037395598189412+0.0186857822187745i</v>
      </c>
      <c r="K106" s="123">
        <f t="shared" si="5"/>
        <v>-27.575606426324381</v>
      </c>
      <c r="L106" s="123">
        <f t="shared" si="6"/>
        <v>26.55031992947103</v>
      </c>
      <c r="R106" s="123">
        <f>MROUND(L82,5)</f>
        <v>165</v>
      </c>
      <c r="S106" s="123">
        <f>B82</f>
        <v>19.952623149688804</v>
      </c>
    </row>
    <row r="107" spans="1:19">
      <c r="A107" s="130">
        <v>3.8</v>
      </c>
      <c r="B107" s="123">
        <f t="shared" si="1"/>
        <v>6309.5734448019384</v>
      </c>
      <c r="C107" s="123">
        <f t="shared" si="10"/>
        <v>39644.21916295003</v>
      </c>
      <c r="D107" s="123" t="str">
        <f>IMDIV(((CTRmin/100)*0.1),COMPLEX(1,'LOOKUP TABLES AND DROPDOWN LIST'!C107*((Copto*nF)+(Cext*uF))*((R_fb4*kOhms*Requ*kOhms)/((R_fb4*kOhms)+(Requ*kOhms)))))</f>
        <v>0.00627832122988596-0.0165680036223035i</v>
      </c>
      <c r="E107" s="123">
        <f t="shared" si="11"/>
        <v>-35.031864630833482</v>
      </c>
      <c r="F107" s="123">
        <f t="shared" si="3"/>
        <v>-69.246171031167094</v>
      </c>
      <c r="G107" s="123" t="str">
        <f>IMDIV((Vout_cv/(2*Iocc)),COMPLEX(1,'LOOKUP TABLES AND DROPDOWN LIST'!C107*(Cout*uF)*(Vout_cv/(2*Iocc))))</f>
        <v>0.000446191696742229-0.0307549395737749i</v>
      </c>
      <c r="H107" s="123">
        <f t="shared" si="4"/>
        <v>-30.240788426677714</v>
      </c>
      <c r="I107" s="123">
        <f t="shared" si="0"/>
        <v>-89.168812944698004</v>
      </c>
      <c r="J107" s="123" t="str">
        <f>IMPRODUCT((1/(R_tl*kOhms)),G_fb1,(G_fb2*kOhms),(K_fm4*kHz),(G_p4*uC),'LOOKUP TABLES AND DROPDOWN LIST'!D107,'LOOKUP TABLES AND DROPDOWN LIST'!G107)</f>
        <v>0.0254132025087739+0.0100541115801778i</v>
      </c>
      <c r="K107" s="123">
        <f t="shared" si="5"/>
        <v>-31.26728224804047</v>
      </c>
      <c r="L107" s="123">
        <f t="shared" si="6"/>
        <v>21.585016024134877</v>
      </c>
      <c r="R107" s="123">
        <f>MROUND(L81,5)</f>
        <v>170</v>
      </c>
      <c r="S107" s="123">
        <f>B81</f>
        <v>15.848931924611136</v>
      </c>
    </row>
    <row r="108" spans="1:19">
      <c r="A108" s="130">
        <v>3.9</v>
      </c>
      <c r="B108" s="123">
        <f t="shared" si="1"/>
        <v>7943.2823472428154</v>
      </c>
      <c r="C108" s="123">
        <f t="shared" si="10"/>
        <v>49909.114934975034</v>
      </c>
      <c r="D108" s="123" t="str">
        <f>IMDIV(((CTRmin/100)*0.1),COMPLEX(1,'LOOKUP TABLES AND DROPDOWN LIST'!C108*((Copto*nF)+(Cext*uF))*((R_fb4*kOhms*Requ*kOhms)/((R_fb4*kOhms)+(Requ*kOhms)))))</f>
        <v>0.00415383916773143-0.0137999122662136i</v>
      </c>
      <c r="E108" s="123">
        <f t="shared" si="11"/>
        <v>-36.825803185633504</v>
      </c>
      <c r="F108" s="123">
        <f t="shared" si="3"/>
        <v>-73.24795566427008</v>
      </c>
      <c r="G108" s="123" t="str">
        <f>IMDIV((Vout_cv/(2*Iocc)),COMPLEX(1,'LOOKUP TABLES AND DROPDOWN LIST'!C108*(Cout*uF)*(Vout_cv/(2*Iocc))))</f>
        <v>0.000281549793312454-0.0244314142086474i</v>
      </c>
      <c r="H108" s="123">
        <f t="shared" si="4"/>
        <v>-32.240451139716072</v>
      </c>
      <c r="I108" s="123">
        <f t="shared" si="0"/>
        <v>-89.339747561028872</v>
      </c>
      <c r="J108" s="123" t="str">
        <f>IMPRODUCT((1/(R_tl*kOhms)),G_fb1,(G_fb2*kOhms),(K_fm4*kHz),(G_p4*uC),'LOOKUP TABLES AND DROPDOWN LIST'!D108,'LOOKUP TABLES AND DROPDOWN LIST'!G108)</f>
        <v>0.0168493972894631+0.00528425265060533i</v>
      </c>
      <c r="K108" s="123">
        <f t="shared" si="5"/>
        <v>-35.060883515878828</v>
      </c>
      <c r="L108" s="123">
        <f t="shared" si="6"/>
        <v>17.412296774701012</v>
      </c>
      <c r="R108" s="123">
        <f>MROUND(L80,5)</f>
        <v>170</v>
      </c>
      <c r="S108" s="123">
        <f>B80</f>
        <v>12.58925411794168</v>
      </c>
    </row>
    <row r="109" spans="1:19">
      <c r="A109" s="130">
        <v>4</v>
      </c>
      <c r="B109" s="123">
        <f t="shared" si="1"/>
        <v>10000</v>
      </c>
      <c r="C109" s="123">
        <f t="shared" si="10"/>
        <v>62831.853071795864</v>
      </c>
      <c r="D109" s="123" t="str">
        <f>IMDIV(((CTRmin/100)*0.1),COMPLEX(1,'LOOKUP TABLES AND DROPDOWN LIST'!C109*((Copto*nF)+(Cext*uF))*((R_fb4*kOhms*Requ*kOhms)/((R_fb4*kOhms)+(Requ*kOhms)))))</f>
        <v>0.0027037905106704-0.0113083616146606i</v>
      </c>
      <c r="E109" s="123">
        <f t="shared" si="11"/>
        <v>-38.69056956169652</v>
      </c>
      <c r="F109" s="123">
        <f t="shared" si="3"/>
        <v>-76.553220145683639</v>
      </c>
      <c r="G109" s="123" t="str">
        <f>IMDIV((Vout_cv/(2*Iocc)),COMPLEX(1,'LOOKUP TABLES AND DROPDOWN LIST'!C109*(Cout*uF)*(Vout_cv/(2*Iocc))))</f>
        <v>0.000177654615725693-0.0194075131672075i</v>
      </c>
      <c r="H109" s="123">
        <f t="shared" si="4"/>
        <v>-34.240238312551519</v>
      </c>
      <c r="I109" s="123">
        <f t="shared" si="0"/>
        <v>-89.475534278431937</v>
      </c>
      <c r="J109" s="123" t="str">
        <f>IMPRODUCT((1/(R_tl*kOhms)),G_fb1,(G_fb2*kOhms),(K_fm4*kHz),(G_p4*uC),'LOOKUP TABLES AND DROPDOWN LIST'!D109,'LOOKUP TABLES AND DROPDOWN LIST'!G109)</f>
        <v>0.0109821292181723+0.00273229897393049i</v>
      </c>
      <c r="K109" s="123">
        <f t="shared" si="5"/>
        <v>-38.925437064777327</v>
      </c>
      <c r="L109" s="123">
        <f t="shared" si="6"/>
        <v>13.971245575884485</v>
      </c>
      <c r="R109" s="123">
        <f>MROUND(L79,5)</f>
        <v>175</v>
      </c>
      <c r="S109" s="123">
        <f>B79</f>
        <v>10</v>
      </c>
    </row>
    <row r="110" spans="1:19">
      <c r="A110" s="130"/>
    </row>
    <row r="111" spans="1:19">
      <c r="A111" s="130"/>
    </row>
    <row r="112" spans="1:19">
      <c r="A112" s="130"/>
    </row>
    <row r="113" spans="1:1">
      <c r="A113" s="130"/>
    </row>
    <row r="114" spans="1:1">
      <c r="A114" s="130"/>
    </row>
    <row r="115" spans="1:1">
      <c r="A115" s="130"/>
    </row>
    <row r="116" spans="1:1">
      <c r="A116" s="130"/>
    </row>
    <row r="117" spans="1:1">
      <c r="A117" s="130"/>
    </row>
    <row r="118" spans="1:1">
      <c r="A118" s="130"/>
    </row>
    <row r="119" spans="1:1">
      <c r="A119" s="130"/>
    </row>
    <row r="120" spans="1:1">
      <c r="A120" s="130"/>
    </row>
    <row r="121" spans="1:1">
      <c r="A121" s="130"/>
    </row>
    <row r="122" spans="1:1">
      <c r="A122" s="130"/>
    </row>
    <row r="123" spans="1:1">
      <c r="A123" s="130"/>
    </row>
    <row r="124" spans="1:1">
      <c r="A124" s="130"/>
    </row>
    <row r="125" spans="1:1">
      <c r="A125" s="130"/>
    </row>
    <row r="126" spans="1:1">
      <c r="A126" s="130"/>
    </row>
    <row r="127" spans="1:1">
      <c r="A127" s="130"/>
    </row>
    <row r="128" spans="1:1">
      <c r="A128" s="130"/>
    </row>
    <row r="129" spans="1:1">
      <c r="A129" s="130"/>
    </row>
  </sheetData>
  <sheetProtection password="EFDD" sheet="1" objects="1" scenarios="1"/>
  <mergeCells count="13">
    <mergeCell ref="V21:Y21"/>
    <mergeCell ref="A77:A78"/>
    <mergeCell ref="D76:F76"/>
    <mergeCell ref="E36:G36"/>
    <mergeCell ref="I27:K27"/>
    <mergeCell ref="I28:K28"/>
    <mergeCell ref="I34:K34"/>
    <mergeCell ref="A1:A2"/>
    <mergeCell ref="A22:C22"/>
    <mergeCell ref="E23:G23"/>
    <mergeCell ref="E22:G22"/>
    <mergeCell ref="S21:T21"/>
    <mergeCell ref="P21:Q21"/>
  </mergeCells>
  <phoneticPr fontId="3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workbookViewId="0">
      <selection activeCell="H27" sqref="H27"/>
    </sheetView>
  </sheetViews>
  <sheetFormatPr defaultRowHeight="15"/>
  <cols>
    <col min="1" max="1" width="20.7109375" customWidth="1"/>
    <col min="2" max="2" width="12.140625" customWidth="1"/>
    <col min="3" max="3" width="30.140625" customWidth="1"/>
    <col min="4" max="4" width="41.140625" customWidth="1"/>
    <col min="5" max="5" width="29.28515625" customWidth="1"/>
    <col min="6" max="6" width="26" customWidth="1"/>
    <col min="7" max="7" width="17" customWidth="1"/>
    <col min="8" max="8" width="110.140625" customWidth="1"/>
    <col min="9" max="9" width="48.5703125" customWidth="1"/>
  </cols>
  <sheetData>
    <row r="1" spans="1:9">
      <c r="A1" t="s">
        <v>760</v>
      </c>
      <c r="B1" t="s">
        <v>761</v>
      </c>
      <c r="C1" t="s">
        <v>762</v>
      </c>
      <c r="D1" t="s">
        <v>763</v>
      </c>
      <c r="E1" t="s">
        <v>904</v>
      </c>
      <c r="F1" t="s">
        <v>812</v>
      </c>
      <c r="G1" t="s">
        <v>800</v>
      </c>
      <c r="H1" t="s">
        <v>850</v>
      </c>
      <c r="I1" t="s">
        <v>764</v>
      </c>
    </row>
    <row r="2" spans="1:9">
      <c r="A2" t="s">
        <v>765</v>
      </c>
      <c r="B2" t="s">
        <v>766</v>
      </c>
      <c r="C2" t="s">
        <v>832</v>
      </c>
      <c r="D2" t="s">
        <v>808</v>
      </c>
      <c r="E2" t="s">
        <v>827</v>
      </c>
      <c r="F2" s="240" t="s">
        <v>828</v>
      </c>
      <c r="G2">
        <v>1</v>
      </c>
      <c r="H2" s="239" t="s">
        <v>826</v>
      </c>
    </row>
    <row r="3" spans="1:9">
      <c r="A3" t="s">
        <v>767</v>
      </c>
      <c r="B3" t="s">
        <v>766</v>
      </c>
      <c r="C3" t="s">
        <v>833</v>
      </c>
      <c r="D3" t="s">
        <v>808</v>
      </c>
      <c r="E3" s="240" t="s">
        <v>836</v>
      </c>
      <c r="F3" s="241" t="s">
        <v>837</v>
      </c>
      <c r="G3">
        <v>1</v>
      </c>
      <c r="H3" s="239" t="s">
        <v>835</v>
      </c>
    </row>
    <row r="4" spans="1:9">
      <c r="A4" t="s">
        <v>768</v>
      </c>
      <c r="B4" t="s">
        <v>766</v>
      </c>
      <c r="C4" t="s">
        <v>676</v>
      </c>
      <c r="D4" t="s">
        <v>808</v>
      </c>
      <c r="E4" s="240" t="s">
        <v>844</v>
      </c>
      <c r="F4" s="241" t="s">
        <v>843</v>
      </c>
      <c r="G4">
        <v>1</v>
      </c>
      <c r="H4" s="239" t="s">
        <v>842</v>
      </c>
      <c r="I4" t="s">
        <v>838</v>
      </c>
    </row>
    <row r="5" spans="1:9">
      <c r="A5" t="s">
        <v>769</v>
      </c>
      <c r="B5" t="s">
        <v>766</v>
      </c>
      <c r="C5" t="s">
        <v>847</v>
      </c>
      <c r="D5" t="s">
        <v>808</v>
      </c>
      <c r="E5" s="240" t="s">
        <v>848</v>
      </c>
      <c r="F5" s="240" t="s">
        <v>849</v>
      </c>
      <c r="G5">
        <v>1</v>
      </c>
      <c r="H5" s="239" t="s">
        <v>845</v>
      </c>
      <c r="I5" t="s">
        <v>846</v>
      </c>
    </row>
    <row r="6" spans="1:9">
      <c r="A6" t="s">
        <v>770</v>
      </c>
      <c r="B6" t="s">
        <v>766</v>
      </c>
      <c r="C6" t="s">
        <v>855</v>
      </c>
      <c r="D6" t="s">
        <v>808</v>
      </c>
      <c r="E6" s="241" t="s">
        <v>854</v>
      </c>
      <c r="F6" s="240" t="s">
        <v>853</v>
      </c>
      <c r="G6">
        <v>1</v>
      </c>
      <c r="H6" s="239" t="s">
        <v>852</v>
      </c>
      <c r="I6" t="s">
        <v>851</v>
      </c>
    </row>
    <row r="7" spans="1:9">
      <c r="A7" t="s">
        <v>771</v>
      </c>
      <c r="B7" t="s">
        <v>772</v>
      </c>
      <c r="C7" t="s">
        <v>860</v>
      </c>
      <c r="D7" t="s">
        <v>808</v>
      </c>
      <c r="E7" s="240" t="s">
        <v>863</v>
      </c>
      <c r="F7" s="241" t="s">
        <v>862</v>
      </c>
      <c r="G7">
        <v>1</v>
      </c>
      <c r="H7" s="239" t="s">
        <v>864</v>
      </c>
      <c r="I7" t="s">
        <v>861</v>
      </c>
    </row>
    <row r="8" spans="1:9">
      <c r="A8" t="s">
        <v>773</v>
      </c>
      <c r="B8" t="s">
        <v>772</v>
      </c>
      <c r="C8" t="s">
        <v>860</v>
      </c>
      <c r="D8" t="s">
        <v>808</v>
      </c>
      <c r="E8" s="240" t="s">
        <v>863</v>
      </c>
      <c r="F8" s="241" t="s">
        <v>862</v>
      </c>
      <c r="G8">
        <v>1</v>
      </c>
      <c r="H8" s="239" t="s">
        <v>865</v>
      </c>
    </row>
    <row r="9" spans="1:9">
      <c r="A9" t="s">
        <v>774</v>
      </c>
      <c r="B9" t="s">
        <v>772</v>
      </c>
      <c r="C9" t="s">
        <v>860</v>
      </c>
      <c r="D9" t="s">
        <v>808</v>
      </c>
      <c r="E9" s="240" t="s">
        <v>870</v>
      </c>
      <c r="F9" s="240" t="s">
        <v>869</v>
      </c>
      <c r="G9">
        <v>1</v>
      </c>
      <c r="H9" s="239" t="s">
        <v>867</v>
      </c>
      <c r="I9" t="s">
        <v>868</v>
      </c>
    </row>
    <row r="10" spans="1:9">
      <c r="A10" t="s">
        <v>775</v>
      </c>
      <c r="B10" t="s">
        <v>772</v>
      </c>
      <c r="C10" t="s">
        <v>819</v>
      </c>
      <c r="D10" t="s">
        <v>819</v>
      </c>
      <c r="E10" t="s">
        <v>819</v>
      </c>
      <c r="F10" t="s">
        <v>819</v>
      </c>
      <c r="G10" t="s">
        <v>819</v>
      </c>
      <c r="H10" t="s">
        <v>819</v>
      </c>
    </row>
    <row r="11" spans="1:9">
      <c r="A11" t="s">
        <v>776</v>
      </c>
      <c r="B11" t="s">
        <v>772</v>
      </c>
      <c r="C11" t="s">
        <v>860</v>
      </c>
      <c r="D11">
        <v>0</v>
      </c>
      <c r="E11" t="s">
        <v>819</v>
      </c>
      <c r="F11" t="s">
        <v>819</v>
      </c>
      <c r="G11" t="s">
        <v>819</v>
      </c>
      <c r="H11" t="s">
        <v>819</v>
      </c>
    </row>
    <row r="12" spans="1:9">
      <c r="A12" t="s">
        <v>777</v>
      </c>
      <c r="B12" t="s">
        <v>772</v>
      </c>
      <c r="C12" t="s">
        <v>871</v>
      </c>
      <c r="D12" t="s">
        <v>808</v>
      </c>
      <c r="E12" s="240" t="s">
        <v>872</v>
      </c>
      <c r="F12" s="240" t="s">
        <v>873</v>
      </c>
      <c r="G12">
        <v>1</v>
      </c>
      <c r="H12" s="239" t="s">
        <v>874</v>
      </c>
    </row>
    <row r="13" spans="1:9">
      <c r="A13" t="s">
        <v>778</v>
      </c>
      <c r="B13" t="s">
        <v>772</v>
      </c>
      <c r="C13" t="s">
        <v>871</v>
      </c>
      <c r="D13" t="s">
        <v>808</v>
      </c>
      <c r="E13" s="240" t="s">
        <v>876</v>
      </c>
      <c r="F13" s="240" t="s">
        <v>877</v>
      </c>
      <c r="G13">
        <v>1</v>
      </c>
      <c r="H13" s="239" t="s">
        <v>875</v>
      </c>
    </row>
    <row r="14" spans="1:9">
      <c r="A14" t="s">
        <v>779</v>
      </c>
      <c r="B14" t="s">
        <v>772</v>
      </c>
      <c r="C14" t="s">
        <v>871</v>
      </c>
      <c r="D14" t="s">
        <v>808</v>
      </c>
      <c r="E14" s="240" t="s">
        <v>878</v>
      </c>
      <c r="F14" s="240" t="s">
        <v>879</v>
      </c>
      <c r="G14">
        <v>1</v>
      </c>
      <c r="H14" s="239" t="s">
        <v>880</v>
      </c>
    </row>
    <row r="15" spans="1:9">
      <c r="A15" t="s">
        <v>780</v>
      </c>
      <c r="B15" t="s">
        <v>772</v>
      </c>
      <c r="C15" t="s">
        <v>871</v>
      </c>
      <c r="D15" t="s">
        <v>808</v>
      </c>
      <c r="E15" s="240" t="s">
        <v>882</v>
      </c>
      <c r="F15" s="241" t="s">
        <v>883</v>
      </c>
      <c r="G15">
        <v>1</v>
      </c>
      <c r="H15" s="239" t="s">
        <v>881</v>
      </c>
    </row>
    <row r="16" spans="1:9">
      <c r="A16" t="s">
        <v>793</v>
      </c>
      <c r="B16" t="s">
        <v>782</v>
      </c>
      <c r="C16" t="s">
        <v>886</v>
      </c>
      <c r="D16" t="s">
        <v>808</v>
      </c>
      <c r="E16" s="240" t="s">
        <v>888</v>
      </c>
      <c r="F16" s="241" t="s">
        <v>887</v>
      </c>
      <c r="G16">
        <v>1</v>
      </c>
      <c r="H16" s="239" t="s">
        <v>885</v>
      </c>
    </row>
    <row r="17" spans="1:9">
      <c r="A17" t="s">
        <v>785</v>
      </c>
      <c r="B17" t="s">
        <v>782</v>
      </c>
      <c r="C17" t="s">
        <v>886</v>
      </c>
      <c r="D17" t="s">
        <v>808</v>
      </c>
      <c r="E17" s="240" t="s">
        <v>891</v>
      </c>
      <c r="F17" s="240" t="s">
        <v>890</v>
      </c>
      <c r="G17">
        <v>1</v>
      </c>
      <c r="H17" s="239" t="s">
        <v>889</v>
      </c>
    </row>
    <row r="18" spans="1:9">
      <c r="A18" t="s">
        <v>786</v>
      </c>
      <c r="B18" t="s">
        <v>782</v>
      </c>
      <c r="C18" t="s">
        <v>886</v>
      </c>
      <c r="D18" t="s">
        <v>808</v>
      </c>
      <c r="E18" s="241" t="s">
        <v>894</v>
      </c>
      <c r="F18" s="241" t="s">
        <v>893</v>
      </c>
      <c r="G18">
        <v>1</v>
      </c>
      <c r="H18" s="239" t="s">
        <v>892</v>
      </c>
    </row>
    <row r="19" spans="1:9">
      <c r="A19" t="s">
        <v>790</v>
      </c>
      <c r="B19" t="s">
        <v>782</v>
      </c>
      <c r="C19" t="s">
        <v>886</v>
      </c>
      <c r="D19" t="s">
        <v>808</v>
      </c>
      <c r="E19" s="240" t="s">
        <v>897</v>
      </c>
      <c r="F19" s="241" t="s">
        <v>896</v>
      </c>
      <c r="G19">
        <v>1</v>
      </c>
      <c r="H19" s="239" t="s">
        <v>895</v>
      </c>
    </row>
    <row r="20" spans="1:9">
      <c r="A20" t="s">
        <v>791</v>
      </c>
      <c r="B20" t="s">
        <v>782</v>
      </c>
      <c r="C20" t="s">
        <v>886</v>
      </c>
      <c r="D20" t="s">
        <v>808</v>
      </c>
      <c r="E20" s="240" t="s">
        <v>900</v>
      </c>
      <c r="F20" s="240" t="s">
        <v>899</v>
      </c>
      <c r="G20">
        <v>1</v>
      </c>
      <c r="H20" s="239" t="s">
        <v>898</v>
      </c>
    </row>
    <row r="21" spans="1:9">
      <c r="A21" t="s">
        <v>783</v>
      </c>
      <c r="B21" t="s">
        <v>782</v>
      </c>
      <c r="C21" t="s">
        <v>886</v>
      </c>
      <c r="D21" t="s">
        <v>808</v>
      </c>
      <c r="E21" s="241" t="s">
        <v>903</v>
      </c>
      <c r="F21" s="240" t="s">
        <v>902</v>
      </c>
      <c r="G21">
        <v>1</v>
      </c>
      <c r="H21" s="239" t="s">
        <v>901</v>
      </c>
    </row>
    <row r="22" spans="1:9" ht="24">
      <c r="A22" t="s">
        <v>792</v>
      </c>
      <c r="B22" t="s">
        <v>782</v>
      </c>
      <c r="C22" t="s">
        <v>886</v>
      </c>
      <c r="D22" t="s">
        <v>808</v>
      </c>
      <c r="E22" s="240" t="s">
        <v>907</v>
      </c>
      <c r="F22" s="241" t="s">
        <v>906</v>
      </c>
      <c r="G22">
        <v>1</v>
      </c>
      <c r="H22" s="239" t="s">
        <v>905</v>
      </c>
    </row>
    <row r="23" spans="1:9">
      <c r="A23" t="s">
        <v>784</v>
      </c>
      <c r="B23" t="s">
        <v>782</v>
      </c>
      <c r="C23" t="s">
        <v>886</v>
      </c>
      <c r="D23" t="s">
        <v>808</v>
      </c>
      <c r="E23" s="240" t="s">
        <v>910</v>
      </c>
      <c r="F23" s="240" t="s">
        <v>909</v>
      </c>
      <c r="G23">
        <v>1</v>
      </c>
      <c r="H23" s="239" t="s">
        <v>908</v>
      </c>
    </row>
    <row r="24" spans="1:9">
      <c r="A24" t="s">
        <v>781</v>
      </c>
      <c r="B24" t="s">
        <v>782</v>
      </c>
      <c r="C24" t="s">
        <v>886</v>
      </c>
      <c r="D24" t="s">
        <v>808</v>
      </c>
      <c r="E24" s="240" t="s">
        <v>912</v>
      </c>
      <c r="F24" s="240" t="s">
        <v>913</v>
      </c>
      <c r="G24">
        <v>1</v>
      </c>
      <c r="H24" s="239" t="s">
        <v>911</v>
      </c>
    </row>
    <row r="25" spans="1:9">
      <c r="A25" t="s">
        <v>789</v>
      </c>
      <c r="B25" t="s">
        <v>782</v>
      </c>
      <c r="C25" t="s">
        <v>886</v>
      </c>
      <c r="D25" t="s">
        <v>808</v>
      </c>
      <c r="E25" s="240" t="s">
        <v>917</v>
      </c>
      <c r="F25" s="241" t="s">
        <v>916</v>
      </c>
      <c r="G25">
        <v>1</v>
      </c>
      <c r="H25" s="239" t="s">
        <v>915</v>
      </c>
      <c r="I25" t="s">
        <v>914</v>
      </c>
    </row>
    <row r="26" spans="1:9">
      <c r="A26" t="s">
        <v>787</v>
      </c>
      <c r="B26" t="s">
        <v>782</v>
      </c>
      <c r="C26" t="s">
        <v>886</v>
      </c>
      <c r="D26" t="s">
        <v>808</v>
      </c>
      <c r="E26" s="240" t="s">
        <v>920</v>
      </c>
      <c r="F26" s="240" t="s">
        <v>919</v>
      </c>
      <c r="G26">
        <v>1</v>
      </c>
      <c r="H26" s="239" t="s">
        <v>918</v>
      </c>
    </row>
    <row r="27" spans="1:9">
      <c r="A27" t="s">
        <v>788</v>
      </c>
      <c r="B27" t="s">
        <v>782</v>
      </c>
      <c r="C27" t="s">
        <v>886</v>
      </c>
      <c r="D27" t="s">
        <v>808</v>
      </c>
      <c r="E27" s="240" t="s">
        <v>922</v>
      </c>
      <c r="F27" s="240" t="s">
        <v>921</v>
      </c>
      <c r="G27">
        <v>1</v>
      </c>
      <c r="H27" s="239" t="s">
        <v>923</v>
      </c>
    </row>
    <row r="28" spans="1:9">
      <c r="A28" t="s">
        <v>794</v>
      </c>
      <c r="B28" t="s">
        <v>795</v>
      </c>
      <c r="C28" t="s">
        <v>824</v>
      </c>
      <c r="D28" s="242" t="s">
        <v>822</v>
      </c>
      <c r="E28" s="243">
        <v>74437529203471</v>
      </c>
      <c r="F28" s="240" t="s">
        <v>825</v>
      </c>
      <c r="G28">
        <v>1</v>
      </c>
      <c r="H28" s="239" t="s">
        <v>823</v>
      </c>
      <c r="I28" t="s">
        <v>866</v>
      </c>
    </row>
    <row r="29" spans="1:9">
      <c r="A29" t="s">
        <v>796</v>
      </c>
      <c r="B29" t="s">
        <v>795</v>
      </c>
      <c r="C29" t="s">
        <v>819</v>
      </c>
      <c r="D29" t="s">
        <v>819</v>
      </c>
      <c r="E29" t="s">
        <v>819</v>
      </c>
      <c r="F29" t="s">
        <v>819</v>
      </c>
      <c r="G29" t="s">
        <v>819</v>
      </c>
      <c r="H29" t="s">
        <v>819</v>
      </c>
      <c r="I29" t="s">
        <v>820</v>
      </c>
    </row>
    <row r="30" spans="1:9">
      <c r="A30" t="s">
        <v>801</v>
      </c>
      <c r="B30" t="s">
        <v>797</v>
      </c>
      <c r="C30" t="s">
        <v>829</v>
      </c>
      <c r="D30" t="s">
        <v>808</v>
      </c>
      <c r="E30">
        <v>750871011</v>
      </c>
      <c r="F30" s="240" t="s">
        <v>803</v>
      </c>
      <c r="G30">
        <v>1</v>
      </c>
      <c r="H30" s="239" t="s">
        <v>802</v>
      </c>
      <c r="I30" t="s">
        <v>884</v>
      </c>
    </row>
    <row r="31" spans="1:9">
      <c r="A31" t="s">
        <v>804</v>
      </c>
      <c r="B31" t="s">
        <v>798</v>
      </c>
      <c r="C31" t="s">
        <v>804</v>
      </c>
      <c r="D31" t="s">
        <v>808</v>
      </c>
      <c r="E31" t="s">
        <v>810</v>
      </c>
      <c r="F31" t="s">
        <v>810</v>
      </c>
      <c r="G31">
        <v>1</v>
      </c>
      <c r="H31" s="239" t="s">
        <v>809</v>
      </c>
      <c r="I31" t="s">
        <v>821</v>
      </c>
    </row>
    <row r="32" spans="1:9">
      <c r="A32" t="s">
        <v>799</v>
      </c>
      <c r="B32" t="s">
        <v>798</v>
      </c>
      <c r="C32" t="s">
        <v>831</v>
      </c>
      <c r="D32" t="s">
        <v>808</v>
      </c>
      <c r="E32" s="240" t="s">
        <v>813</v>
      </c>
      <c r="F32" s="240" t="s">
        <v>814</v>
      </c>
      <c r="G32">
        <v>1</v>
      </c>
      <c r="H32" s="239" t="s">
        <v>811</v>
      </c>
    </row>
    <row r="33" spans="1:9">
      <c r="A33" t="s">
        <v>815</v>
      </c>
      <c r="B33" t="s">
        <v>798</v>
      </c>
      <c r="C33" t="s">
        <v>815</v>
      </c>
      <c r="D33" t="s">
        <v>808</v>
      </c>
      <c r="E33" t="s">
        <v>818</v>
      </c>
      <c r="F33" s="240" t="s">
        <v>817</v>
      </c>
      <c r="G33">
        <v>1</v>
      </c>
      <c r="H33" s="239" t="s">
        <v>816</v>
      </c>
    </row>
    <row r="34" spans="1:9">
      <c r="A34" t="s">
        <v>649</v>
      </c>
      <c r="B34" t="s">
        <v>798</v>
      </c>
      <c r="C34" t="s">
        <v>830</v>
      </c>
      <c r="D34" t="s">
        <v>808</v>
      </c>
      <c r="E34" t="s">
        <v>805</v>
      </c>
      <c r="F34" t="s">
        <v>806</v>
      </c>
      <c r="G34">
        <v>1</v>
      </c>
      <c r="H34" s="239" t="s">
        <v>807</v>
      </c>
    </row>
    <row r="35" spans="1:9">
      <c r="A35" t="s">
        <v>834</v>
      </c>
      <c r="B35" t="s">
        <v>626</v>
      </c>
      <c r="C35" t="s">
        <v>834</v>
      </c>
      <c r="D35" t="s">
        <v>808</v>
      </c>
      <c r="E35" s="240" t="s">
        <v>859</v>
      </c>
      <c r="F35" s="240" t="s">
        <v>858</v>
      </c>
      <c r="G35">
        <v>1</v>
      </c>
      <c r="H35" s="239" t="s">
        <v>857</v>
      </c>
      <c r="I35" t="s">
        <v>856</v>
      </c>
    </row>
    <row r="36" spans="1:9">
      <c r="B36" t="s">
        <v>839</v>
      </c>
    </row>
    <row r="37" spans="1:9">
      <c r="B37" t="s">
        <v>772</v>
      </c>
      <c r="C37" t="s">
        <v>840</v>
      </c>
      <c r="D37" s="239" t="s">
        <v>841</v>
      </c>
      <c r="I37" s="244"/>
    </row>
  </sheetData>
  <phoneticPr fontId="39" type="noConversion"/>
  <hyperlinks>
    <hyperlink ref="H30" r:id="rId1" xr:uid="{6BC8320E-707F-4786-95AB-589EE0E3EC44}"/>
    <hyperlink ref="H34" r:id="rId2" xr:uid="{16E265C2-557B-4AA9-8124-FD91BA6A1E7B}"/>
    <hyperlink ref="H31" r:id="rId3" xr:uid="{AF49B41B-6340-4A1C-B27D-A3D90680C89E}"/>
    <hyperlink ref="H32" r:id="rId4" xr:uid="{38FC05E9-E6D4-4CC9-9B5A-2E686B214CC1}"/>
    <hyperlink ref="H33" r:id="rId5" xr:uid="{C402FE82-6CFF-467E-90AE-6D39293C4C9B}"/>
    <hyperlink ref="H28" r:id="rId6" xr:uid="{059555BE-292A-41C0-9C25-CF86B0996E00}"/>
    <hyperlink ref="H2" r:id="rId7" xr:uid="{27D1DC8A-C161-4FB4-985A-BB43EA4F37D6}"/>
    <hyperlink ref="H3" r:id="rId8" xr:uid="{CA6B6774-193E-4059-B7F1-E6ED7E237E01}"/>
    <hyperlink ref="D37" r:id="rId9" xr:uid="{7159FD5E-D979-445F-8ABB-7DF8952BE8E5}"/>
    <hyperlink ref="H4" r:id="rId10" xr:uid="{A40007EC-1032-46B1-BE9E-7CDFC90D95DF}"/>
    <hyperlink ref="H5" r:id="rId11" xr:uid="{F2639D3B-C400-4DB2-AB50-8489E802587E}"/>
    <hyperlink ref="H6" r:id="rId12" xr:uid="{94CA0B6E-7B70-407A-B9CE-2AC10F09850E}"/>
    <hyperlink ref="H35" r:id="rId13" xr:uid="{ADA54A37-FECD-483D-A437-868095DA0698}"/>
    <hyperlink ref="H7" r:id="rId14" xr:uid="{3A4A9620-B5EC-4FCD-9B92-D0D5A0884F03}"/>
    <hyperlink ref="H8" r:id="rId15" display="https://www.digikey.ca/product-detail/en/nichicon/UBX2G4R7MPL/493-16683-ND/2597608" xr:uid="{FF75C9FF-D2A7-47D2-9FFB-6B03A3D22318}"/>
    <hyperlink ref="H9" r:id="rId16" xr:uid="{ED306500-B2FE-46D4-AD58-EE2A847822A5}"/>
    <hyperlink ref="H12" r:id="rId17" xr:uid="{3FAF272A-6236-46CC-AC5F-F1389F2D90B8}"/>
    <hyperlink ref="H13" r:id="rId18" xr:uid="{E11C1FA8-E89B-4CCC-B233-3783E9126FC4}"/>
    <hyperlink ref="H14" r:id="rId19" xr:uid="{99A92EF1-EC25-4474-9461-31D9DF3FA310}"/>
    <hyperlink ref="H15" r:id="rId20" xr:uid="{23A4B8D1-D0F9-411A-A7ED-71B9290D4151}"/>
    <hyperlink ref="H16" r:id="rId21" xr:uid="{005353EC-C454-4A87-AF15-37412BD70F73}"/>
    <hyperlink ref="H17" r:id="rId22" xr:uid="{306E9C69-5C64-4B4F-9F4D-73502AF61A01}"/>
    <hyperlink ref="H18" r:id="rId23" xr:uid="{8CFB6F54-026D-4752-A6DA-71462B61BDD0}"/>
    <hyperlink ref="H19" r:id="rId24" xr:uid="{260B51E0-15A3-4242-86F3-BF9CC4D217AD}"/>
    <hyperlink ref="H20" r:id="rId25" xr:uid="{AAA828BF-8653-4D2D-81B9-0808236FA331}"/>
    <hyperlink ref="H21" r:id="rId26" xr:uid="{C502BF0A-4BC3-47F8-8983-FE7A05A929C3}"/>
    <hyperlink ref="H22" r:id="rId27" xr:uid="{95906540-678D-4B3A-A644-FBD7D99F2504}"/>
    <hyperlink ref="H23" r:id="rId28" xr:uid="{FEC3841E-49EE-4DC1-B6BF-8A59EFC32B87}"/>
    <hyperlink ref="H24" r:id="rId29" xr:uid="{EC492FD1-AB15-439B-91E4-E0104D0687A7}"/>
    <hyperlink ref="H25" r:id="rId30" xr:uid="{20F7EC10-EAB5-4B82-94BD-E9A7D2531F72}"/>
    <hyperlink ref="H26" r:id="rId31" xr:uid="{7C2AE106-D267-4ADC-AC5F-B16FD203E506}"/>
    <hyperlink ref="H27" r:id="rId32" xr:uid="{6FF5ECC0-B4E2-4244-8BEC-9CC061332BD8}"/>
  </hyperlinks>
  <pageMargins left="0.7" right="0.7" top="0.75" bottom="0.75" header="0.3" footer="0.3"/>
  <pageSetup orientation="portrait"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238</vt:i4>
      </vt:variant>
    </vt:vector>
  </HeadingPairs>
  <TitlesOfParts>
    <vt:vector size="243" baseType="lpstr">
      <vt:lpstr>START HERE</vt:lpstr>
      <vt:lpstr>SCHEMATIC AND BoM</vt:lpstr>
      <vt:lpstr>CALCULATIONS</vt:lpstr>
      <vt:lpstr>LOOKUP TABLES AND DROPDOWN LIST</vt:lpstr>
      <vt:lpstr>Part List</vt:lpstr>
      <vt:lpstr>C_f1</vt:lpstr>
      <vt:lpstr>C_f2</vt:lpstr>
      <vt:lpstr>C_s1</vt:lpstr>
      <vt:lpstr>C_s2</vt:lpstr>
      <vt:lpstr>Cbulk</vt:lpstr>
      <vt:lpstr>Cbulk_actual</vt:lpstr>
      <vt:lpstr>Cbulk_initial</vt:lpstr>
      <vt:lpstr>Cbulk_rcmd</vt:lpstr>
      <vt:lpstr>Cbulk_recommended</vt:lpstr>
      <vt:lpstr>Cext</vt:lpstr>
      <vt:lpstr>Cext_actual</vt:lpstr>
      <vt:lpstr>Cext_rcmd</vt:lpstr>
      <vt:lpstr>Cfb_actual</vt:lpstr>
      <vt:lpstr>Cfb_rcmd</vt:lpstr>
      <vt:lpstr>Copto</vt:lpstr>
      <vt:lpstr>Coss</vt:lpstr>
      <vt:lpstr>Cout</vt:lpstr>
      <vt:lpstr>Cout_actual</vt:lpstr>
      <vt:lpstr>Cout_no_opto</vt:lpstr>
      <vt:lpstr>Cout_rcmd</vt:lpstr>
      <vt:lpstr>CTRmin</vt:lpstr>
      <vt:lpstr>Cvdd_rcmd</vt:lpstr>
      <vt:lpstr>Cvdd1</vt:lpstr>
      <vt:lpstr>Cz</vt:lpstr>
      <vt:lpstr>Cz_actual</vt:lpstr>
      <vt:lpstr>Cz_rcmd</vt:lpstr>
      <vt:lpstr>DCR_Lout</vt:lpstr>
      <vt:lpstr>Ddemag_cc</vt:lpstr>
      <vt:lpstr>Dmax</vt:lpstr>
      <vt:lpstr>Dmax_target</vt:lpstr>
      <vt:lpstr>E_48f</vt:lpstr>
      <vt:lpstr>E_48s</vt:lpstr>
      <vt:lpstr>eff_xfmr</vt:lpstr>
      <vt:lpstr>efficiency</vt:lpstr>
      <vt:lpstr>ESR</vt:lpstr>
      <vt:lpstr>ESRactual</vt:lpstr>
      <vt:lpstr>ESRrcmd</vt:lpstr>
      <vt:lpstr>fc_opto</vt:lpstr>
      <vt:lpstr>fline_min</vt:lpstr>
      <vt:lpstr>fmax</vt:lpstr>
      <vt:lpstr>fmax_target</vt:lpstr>
      <vt:lpstr>fmin</vt:lpstr>
      <vt:lpstr>fres</vt:lpstr>
      <vt:lpstr>fres_actual</vt:lpstr>
      <vt:lpstr>fswmax</vt:lpstr>
      <vt:lpstr>fswmin</vt:lpstr>
      <vt:lpstr>G_fb1</vt:lpstr>
      <vt:lpstr>G_fb2</vt:lpstr>
      <vt:lpstr>G_p4</vt:lpstr>
      <vt:lpstr>Ibridge</vt:lpstr>
      <vt:lpstr>Icin</vt:lpstr>
      <vt:lpstr>Icout_rms</vt:lpstr>
      <vt:lpstr>Idout</vt:lpstr>
      <vt:lpstr>Idrain</vt:lpstr>
      <vt:lpstr>Iin_peak</vt:lpstr>
      <vt:lpstr>Input_Voltage_type</vt:lpstr>
      <vt:lpstr>Iocc</vt:lpstr>
      <vt:lpstr>Iocc_max</vt:lpstr>
      <vt:lpstr>Iocc_target</vt:lpstr>
      <vt:lpstr>Iout</vt:lpstr>
      <vt:lpstr>Ipp_fm</vt:lpstr>
      <vt:lpstr>Ipp_nom</vt:lpstr>
      <vt:lpstr>Ipp_wc</vt:lpstr>
      <vt:lpstr>Ipri_RMS</vt:lpstr>
      <vt:lpstr>Ipulsed</vt:lpstr>
      <vt:lpstr>Iref431</vt:lpstr>
      <vt:lpstr>Irun</vt:lpstr>
      <vt:lpstr>Isec_rms</vt:lpstr>
      <vt:lpstr>Isp_max</vt:lpstr>
      <vt:lpstr>Itran</vt:lpstr>
      <vt:lpstr>Ivslrun_max</vt:lpstr>
      <vt:lpstr>Ivslrun_min</vt:lpstr>
      <vt:lpstr>Ivslrun_nom</vt:lpstr>
      <vt:lpstr>Ivslstop_max</vt:lpstr>
      <vt:lpstr>Ivslstop_min</vt:lpstr>
      <vt:lpstr>Ivslstop_nom</vt:lpstr>
      <vt:lpstr>K_fm4</vt:lpstr>
      <vt:lpstr>Kam_nom</vt:lpstr>
      <vt:lpstr>kHz</vt:lpstr>
      <vt:lpstr>Klc</vt:lpstr>
      <vt:lpstr>kOhms</vt:lpstr>
      <vt:lpstr>Lp</vt:lpstr>
      <vt:lpstr>Lp_actual</vt:lpstr>
      <vt:lpstr>Lp_est</vt:lpstr>
      <vt:lpstr>Lp_rcmd</vt:lpstr>
      <vt:lpstr>mA</vt:lpstr>
      <vt:lpstr>MHz</vt:lpstr>
      <vt:lpstr>mOhms</vt:lpstr>
      <vt:lpstr>ms</vt:lpstr>
      <vt:lpstr>mV</vt:lpstr>
      <vt:lpstr>mW</vt:lpstr>
      <vt:lpstr>Nas</vt:lpstr>
      <vt:lpstr>Nas_rcmd</vt:lpstr>
      <vt:lpstr>nC</vt:lpstr>
      <vt:lpstr>nF</vt:lpstr>
      <vt:lpstr>Npa</vt:lpstr>
      <vt:lpstr>Npa_actual</vt:lpstr>
      <vt:lpstr>Npa_rcmd</vt:lpstr>
      <vt:lpstr>Nps</vt:lpstr>
      <vt:lpstr>Nps_actual</vt:lpstr>
      <vt:lpstr>Nps_ideal</vt:lpstr>
      <vt:lpstr>Nps_rcmd</vt:lpstr>
      <vt:lpstr>NPSmax</vt:lpstr>
      <vt:lpstr>ns</vt:lpstr>
      <vt:lpstr>P_Rcs</vt:lpstr>
      <vt:lpstr>Pbridge</vt:lpstr>
      <vt:lpstr>Pdout</vt:lpstr>
      <vt:lpstr>pF</vt:lpstr>
      <vt:lpstr>Pfet</vt:lpstr>
      <vt:lpstr>Pfet_cond</vt:lpstr>
      <vt:lpstr>Pfet_switch</vt:lpstr>
      <vt:lpstr>Pin</vt:lpstr>
      <vt:lpstr>Pout</vt:lpstr>
      <vt:lpstr>Psb_target</vt:lpstr>
      <vt:lpstr>Qg</vt:lpstr>
      <vt:lpstr>R_fb1</vt:lpstr>
      <vt:lpstr>R_fb2</vt:lpstr>
      <vt:lpstr>R_fb4</vt:lpstr>
      <vt:lpstr>R_fb4_actual</vt:lpstr>
      <vt:lpstr>R_fb4_rcmd</vt:lpstr>
      <vt:lpstr>R_tl</vt:lpstr>
      <vt:lpstr>R_vs1</vt:lpstr>
      <vt:lpstr>R_vs2</vt:lpstr>
      <vt:lpstr>Rcs</vt:lpstr>
      <vt:lpstr>Rcs_actual</vt:lpstr>
      <vt:lpstr>Rcs_rcmd</vt:lpstr>
      <vt:lpstr>Rdson</vt:lpstr>
      <vt:lpstr>Requ</vt:lpstr>
      <vt:lpstr>Rfb1_actual</vt:lpstr>
      <vt:lpstr>Rfb1_rcmd</vt:lpstr>
      <vt:lpstr>Rfb2_actual</vt:lpstr>
      <vt:lpstr>Rfb2_rcmd</vt:lpstr>
      <vt:lpstr>Rinj</vt:lpstr>
      <vt:lpstr>Rl_opto</vt:lpstr>
      <vt:lpstr>Rlc</vt:lpstr>
      <vt:lpstr>Rlc_actual</vt:lpstr>
      <vt:lpstr>Rlc_rcmd</vt:lpstr>
      <vt:lpstr>Rtl_actual</vt:lpstr>
      <vt:lpstr>Rtl_rcmd</vt:lpstr>
      <vt:lpstr>Rvs1_actual</vt:lpstr>
      <vt:lpstr>Rvs1_rcmd</vt:lpstr>
      <vt:lpstr>Rvs2_actual</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tdischarge_1</vt:lpstr>
      <vt:lpstr>tdischarge_2</vt:lpstr>
      <vt:lpstr>tdischarge_3</vt:lpstr>
      <vt:lpstr>tdoff</vt:lpstr>
      <vt:lpstr>tf</vt:lpstr>
      <vt:lpstr>tf_opto</vt:lpstr>
      <vt:lpstr>ton_max</vt:lpstr>
      <vt:lpstr>ton_max_est</vt:lpstr>
      <vt:lpstr>ton_min</vt:lpstr>
      <vt:lpstr>tonmin_limit</vt:lpstr>
      <vt:lpstr>tov</vt:lpstr>
      <vt:lpstr>tres</vt:lpstr>
      <vt:lpstr>tres_actual</vt:lpstr>
      <vt:lpstr>tresp</vt:lpstr>
      <vt:lpstr>tsw</vt:lpstr>
      <vt:lpstr>tsw_target</vt:lpstr>
      <vt:lpstr>uA</vt:lpstr>
      <vt:lpstr>uC</vt:lpstr>
      <vt:lpstr>uF</vt:lpstr>
      <vt:lpstr>uH</vt:lpstr>
      <vt:lpstr>us</vt:lpstr>
      <vt:lpstr>Vbridge</vt:lpstr>
      <vt:lpstr>Vbrownout_max</vt:lpstr>
      <vt:lpstr>Vbrownout_min</vt:lpstr>
      <vt:lpstr>Vbrownout_nom</vt:lpstr>
      <vt:lpstr>Vbulk_max</vt:lpstr>
      <vt:lpstr>Vbulk_min</vt:lpstr>
      <vt:lpstr>Vbulk_nom</vt:lpstr>
      <vt:lpstr>Vbulk_run</vt:lpstr>
      <vt:lpstr>Vbulk_valley</vt:lpstr>
      <vt:lpstr>Vbulkvalley</vt:lpstr>
      <vt:lpstr>Vbulkvalley_1</vt:lpstr>
      <vt:lpstr>Vbulkvalley_2</vt:lpstr>
      <vt:lpstr>Vbulkvalley_3</vt:lpstr>
      <vt:lpstr>Vbulkvalley_desired</vt:lpstr>
      <vt:lpstr>Vccr_max</vt:lpstr>
      <vt:lpstr>Vccr_min</vt:lpstr>
      <vt:lpstr>Vccr_nom</vt:lpstr>
      <vt:lpstr>Vcin_rated</vt:lpstr>
      <vt:lpstr>Vcstmax_max</vt:lpstr>
      <vt:lpstr>Vcstmax_min</vt:lpstr>
      <vt:lpstr>Vcstmax_nom</vt:lpstr>
      <vt:lpstr>VDbias_blocking</vt:lpstr>
      <vt:lpstr>VDD</vt:lpstr>
      <vt:lpstr>VDDoff</vt:lpstr>
      <vt:lpstr>VDDoff_max</vt:lpstr>
      <vt:lpstr>VDDoff_min</vt:lpstr>
      <vt:lpstr>VDDon</vt:lpstr>
      <vt:lpstr>Vdout_blocking</vt:lpstr>
      <vt:lpstr>Vdrain_clamp</vt:lpstr>
      <vt:lpstr>Vds</vt:lpstr>
      <vt:lpstr>VDS_derating</vt:lpstr>
      <vt:lpstr>Vds_min_rating</vt:lpstr>
      <vt:lpstr>Vf</vt:lpstr>
      <vt:lpstr>Vf_bridge</vt:lpstr>
      <vt:lpstr>Vf_opto</vt:lpstr>
      <vt:lpstr>Vfa</vt:lpstr>
      <vt:lpstr>Vflyback</vt:lpstr>
      <vt:lpstr>Vin_type</vt:lpstr>
      <vt:lpstr>Vinput_max</vt:lpstr>
      <vt:lpstr>Vinput_min</vt:lpstr>
      <vt:lpstr>Vinput_nom</vt:lpstr>
      <vt:lpstr>Vinput_run</vt:lpstr>
      <vt:lpstr>Vleakage</vt:lpstr>
      <vt:lpstr>Vout_cc</vt:lpstr>
      <vt:lpstr>Vout_cc_min</vt:lpstr>
      <vt:lpstr>Vout_cv</vt:lpstr>
      <vt:lpstr>Vout_delta</vt:lpstr>
      <vt:lpstr>Vout_ovp</vt:lpstr>
      <vt:lpstr>Voutripple</vt:lpstr>
      <vt:lpstr>Vovp_max</vt:lpstr>
      <vt:lpstr>Vovp_min</vt:lpstr>
      <vt:lpstr>Vovp_nom</vt:lpstr>
      <vt:lpstr>Vref431</vt:lpstr>
      <vt:lpstr>Vripple_target</vt:lpstr>
      <vt:lpstr>Vturnon_max</vt:lpstr>
      <vt:lpstr>Vturnon_min</vt:lpstr>
      <vt:lpstr>Vturnon_nom</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a0799100</dc:creator>
  <cp:lastModifiedBy>Christopher Dyck</cp:lastModifiedBy>
  <cp:lastPrinted>2016-03-09T09:36:05Z</cp:lastPrinted>
  <dcterms:created xsi:type="dcterms:W3CDTF">2013-07-09T14:24:03Z</dcterms:created>
  <dcterms:modified xsi:type="dcterms:W3CDTF">2019-11-17T00:31:21Z</dcterms:modified>
</cp:coreProperties>
</file>