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nowicki/Desktop/Sattrans/"/>
    </mc:Choice>
  </mc:AlternateContent>
  <xr:revisionPtr revIDLastSave="0" documentId="13_ncr:1_{16F9256E-1AF3-7540-A2A1-075D899CF50E}" xr6:coauthVersionLast="47" xr6:coauthVersionMax="47" xr10:uidLastSave="{00000000-0000-0000-0000-000000000000}"/>
  <bookViews>
    <workbookView xWindow="4300" yWindow="4280" windowWidth="28240" windowHeight="17240" xr2:uid="{97DED34A-E332-524C-9F71-C11C5C5FF118}"/>
  </bookViews>
  <sheets>
    <sheet name="Arkusz1" sheetId="1" r:id="rId1"/>
    <sheet name="Help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6" i="1"/>
  <c r="F5" i="1"/>
  <c r="G22" i="1"/>
  <c r="C6" i="2"/>
  <c r="C43" i="1" s="1"/>
  <c r="C37" i="1"/>
  <c r="C38" i="1" s="1"/>
  <c r="C40" i="1"/>
  <c r="C41" i="1" s="1"/>
  <c r="C34" i="1"/>
  <c r="C35" i="1" s="1"/>
  <c r="C23" i="1"/>
  <c r="C47" i="1" s="1"/>
  <c r="C4" i="2"/>
  <c r="F32" i="1" l="1"/>
  <c r="G11" i="1"/>
  <c r="G12" i="1"/>
  <c r="G20" i="1"/>
  <c r="G13" i="1"/>
  <c r="G14" i="1" s="1"/>
  <c r="C26" i="1"/>
  <c r="C27" i="1" s="1"/>
  <c r="C44" i="1" s="1"/>
  <c r="G21" i="1"/>
  <c r="C25" i="1"/>
  <c r="C29" i="1"/>
  <c r="C30" i="1" s="1"/>
  <c r="C45" i="1" l="1"/>
</calcChain>
</file>

<file path=xl/sharedStrings.xml><?xml version="1.0" encoding="utf-8"?>
<sst xmlns="http://schemas.openxmlformats.org/spreadsheetml/2006/main" count="79" uniqueCount="50">
  <si>
    <t>Vin</t>
  </si>
  <si>
    <t>Vin_min</t>
  </si>
  <si>
    <t>V</t>
  </si>
  <si>
    <t>Iout</t>
  </si>
  <si>
    <t>Vout</t>
  </si>
  <si>
    <t>Rout</t>
  </si>
  <si>
    <t>Cout</t>
  </si>
  <si>
    <t>Cout_esr</t>
  </si>
  <si>
    <t>uF</t>
  </si>
  <si>
    <t>A</t>
  </si>
  <si>
    <t>mOhm</t>
  </si>
  <si>
    <t>As</t>
  </si>
  <si>
    <t>D'</t>
  </si>
  <si>
    <t>Am</t>
  </si>
  <si>
    <t>Rsense</t>
  </si>
  <si>
    <t>wz_rhp</t>
  </si>
  <si>
    <t>uH</t>
  </si>
  <si>
    <t>Lin</t>
  </si>
  <si>
    <t>rad</t>
  </si>
  <si>
    <t>Hz</t>
  </si>
  <si>
    <t>wp_lf</t>
  </si>
  <si>
    <t>K</t>
  </si>
  <si>
    <t>wz_ea</t>
  </si>
  <si>
    <t>Rcomp</t>
  </si>
  <si>
    <t>Ccomp</t>
  </si>
  <si>
    <t>Cch</t>
  </si>
  <si>
    <t>nF</t>
  </si>
  <si>
    <t>pF</t>
  </si>
  <si>
    <t>kOhm</t>
  </si>
  <si>
    <t>wz_esr</t>
  </si>
  <si>
    <t>wp_ea</t>
  </si>
  <si>
    <t>Rfb1</t>
  </si>
  <si>
    <t>Rfb2</t>
  </si>
  <si>
    <t>fcross_max</t>
  </si>
  <si>
    <t>Rt</t>
  </si>
  <si>
    <t>fsw</t>
  </si>
  <si>
    <t>fcross1</t>
  </si>
  <si>
    <t>fcross2</t>
  </si>
  <si>
    <t>fcross</t>
  </si>
  <si>
    <t>Rslope_min</t>
  </si>
  <si>
    <t>Rslope</t>
  </si>
  <si>
    <t>Lin_ideal</t>
  </si>
  <si>
    <t>Ipeak</t>
  </si>
  <si>
    <t>Iin</t>
  </si>
  <si>
    <t>Rs</t>
  </si>
  <si>
    <t>Ploss_Rs</t>
  </si>
  <si>
    <t>W</t>
  </si>
  <si>
    <t>Iripple</t>
  </si>
  <si>
    <t>Rslope_min2</t>
  </si>
  <si>
    <t>K_equation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</si>
</sst>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6C6E-38E7-3947-8CF9-54A13377F750}">
  <dimension ref="B3:H47"/>
  <sheetViews>
    <sheetView tabSelected="1" workbookViewId="0">
      <selection activeCell="J44" sqref="J44"/>
    </sheetView>
  </sheetViews>
  <sheetFormatPr baseColWidth="10" defaultRowHeight="16" x14ac:dyDescent="0.2"/>
  <cols>
    <col min="6" max="6" width="11.83203125" customWidth="1"/>
    <col min="7" max="7" width="12.1640625" bestFit="1" customWidth="1"/>
  </cols>
  <sheetData>
    <row r="3" spans="2:8" x14ac:dyDescent="0.2">
      <c r="B3" t="s">
        <v>0</v>
      </c>
      <c r="C3" s="1">
        <v>12</v>
      </c>
      <c r="D3" t="s">
        <v>2</v>
      </c>
    </row>
    <row r="4" spans="2:8" x14ac:dyDescent="0.2">
      <c r="B4" t="s">
        <v>1</v>
      </c>
      <c r="C4" s="1">
        <v>10</v>
      </c>
      <c r="D4" t="s">
        <v>2</v>
      </c>
    </row>
    <row r="5" spans="2:8" x14ac:dyDescent="0.2">
      <c r="B5" t="s">
        <v>3</v>
      </c>
      <c r="C5" s="1">
        <v>3</v>
      </c>
      <c r="D5" t="s">
        <v>9</v>
      </c>
      <c r="E5" t="s">
        <v>43</v>
      </c>
      <c r="F5">
        <f>C5*C6/C3</f>
        <v>12.75</v>
      </c>
    </row>
    <row r="6" spans="2:8" x14ac:dyDescent="0.2">
      <c r="B6" t="s">
        <v>4</v>
      </c>
      <c r="C6" s="1">
        <v>51</v>
      </c>
      <c r="D6" t="s">
        <v>2</v>
      </c>
    </row>
    <row r="8" spans="2:8" x14ac:dyDescent="0.2">
      <c r="B8" t="s">
        <v>6</v>
      </c>
      <c r="C8" s="1">
        <v>272</v>
      </c>
      <c r="D8" t="s">
        <v>8</v>
      </c>
    </row>
    <row r="9" spans="2:8" x14ac:dyDescent="0.2">
      <c r="B9" t="s">
        <v>7</v>
      </c>
      <c r="C9" s="1">
        <v>13</v>
      </c>
      <c r="D9" t="s">
        <v>10</v>
      </c>
    </row>
    <row r="11" spans="2:8" x14ac:dyDescent="0.2">
      <c r="B11" t="s">
        <v>17</v>
      </c>
      <c r="C11" s="1">
        <v>10</v>
      </c>
      <c r="D11" t="s">
        <v>16</v>
      </c>
      <c r="F11" t="s">
        <v>41</v>
      </c>
      <c r="G11">
        <f>(C3/((C5*C6/C3)*0.3*Helpers!C6))*(1-C3/C6)*POWER(10,6)</f>
        <v>9.5963091118800463</v>
      </c>
      <c r="H11" t="s">
        <v>16</v>
      </c>
    </row>
    <row r="12" spans="2:8" x14ac:dyDescent="0.2">
      <c r="B12" t="s">
        <v>14</v>
      </c>
      <c r="C12" s="1">
        <v>4</v>
      </c>
      <c r="D12" t="s">
        <v>10</v>
      </c>
      <c r="F12" t="s">
        <v>42</v>
      </c>
      <c r="G12">
        <f>F5+0.5*C3/(C11*POWER(10,-6)*Helpers!C6)*(1-C3/C6)</f>
        <v>14.585294117647059</v>
      </c>
      <c r="H12" t="s">
        <v>9</v>
      </c>
    </row>
    <row r="13" spans="2:8" x14ac:dyDescent="0.2">
      <c r="F13" t="s">
        <v>44</v>
      </c>
      <c r="G13">
        <f>75/(G12*1.2)</f>
        <v>4.2851381326880418</v>
      </c>
      <c r="H13" t="s">
        <v>10</v>
      </c>
    </row>
    <row r="14" spans="2:8" x14ac:dyDescent="0.2">
      <c r="B14" t="s">
        <v>23</v>
      </c>
      <c r="C14" s="1">
        <v>26.7</v>
      </c>
      <c r="D14" t="s">
        <v>28</v>
      </c>
      <c r="F14" t="s">
        <v>45</v>
      </c>
      <c r="G14">
        <f>POWER(G12*1.2,2)*G13*POWER(10,-3)</f>
        <v>1.3126764705882357</v>
      </c>
      <c r="H14" t="s">
        <v>46</v>
      </c>
    </row>
    <row r="15" spans="2:8" x14ac:dyDescent="0.2">
      <c r="B15" t="s">
        <v>24</v>
      </c>
      <c r="C15" s="1">
        <v>10</v>
      </c>
      <c r="D15" t="s">
        <v>26</v>
      </c>
    </row>
    <row r="16" spans="2:8" x14ac:dyDescent="0.2">
      <c r="B16" t="s">
        <v>25</v>
      </c>
      <c r="C16" s="1">
        <v>180</v>
      </c>
      <c r="D16" t="s">
        <v>27</v>
      </c>
      <c r="F16" t="s">
        <v>47</v>
      </c>
      <c r="G16">
        <f>C5/(2*(C4/C6))</f>
        <v>7.65</v>
      </c>
      <c r="H16" t="s">
        <v>9</v>
      </c>
    </row>
    <row r="18" spans="2:8" x14ac:dyDescent="0.2">
      <c r="B18" t="s">
        <v>31</v>
      </c>
      <c r="C18" s="1">
        <v>100</v>
      </c>
      <c r="D18" t="s">
        <v>28</v>
      </c>
      <c r="F18" t="s">
        <v>1</v>
      </c>
      <c r="G18">
        <f>Helpers!C6*Arkusz1!C6*650*POWER(10,-9)</f>
        <v>8.2874999999999996</v>
      </c>
      <c r="H18" t="s">
        <v>2</v>
      </c>
    </row>
    <row r="19" spans="2:8" x14ac:dyDescent="0.2">
      <c r="B19" t="s">
        <v>32</v>
      </c>
      <c r="C19" s="1">
        <v>2.4</v>
      </c>
      <c r="D19" t="s">
        <v>28</v>
      </c>
    </row>
    <row r="20" spans="2:8" x14ac:dyDescent="0.2">
      <c r="F20" t="s">
        <v>48</v>
      </c>
      <c r="G20">
        <f>5.7*POWER(10,9)/Helpers!C6*(1.2-C4/C6)</f>
        <v>22889.411764705881</v>
      </c>
    </row>
    <row r="21" spans="2:8" x14ac:dyDescent="0.2">
      <c r="B21" t="s">
        <v>34</v>
      </c>
      <c r="C21" s="1">
        <v>36</v>
      </c>
      <c r="D21" t="s">
        <v>28</v>
      </c>
      <c r="F21" t="s">
        <v>39</v>
      </c>
      <c r="G21">
        <f>8*POWER(10,9)/Helpers!C6</f>
        <v>32000</v>
      </c>
    </row>
    <row r="22" spans="2:8" x14ac:dyDescent="0.2">
      <c r="F22" t="s">
        <v>40</v>
      </c>
      <c r="G22">
        <f>(C11*POWER(10,-6)*6*POWER(10,9))/((C32*C6-C4)*C12*POWER(10,-3)*10)</f>
        <v>36585.365853658528</v>
      </c>
    </row>
    <row r="23" spans="2:8" x14ac:dyDescent="0.2">
      <c r="B23" t="s">
        <v>12</v>
      </c>
      <c r="C23">
        <f>C4/C6</f>
        <v>0.19607843137254902</v>
      </c>
    </row>
    <row r="25" spans="2:8" x14ac:dyDescent="0.2">
      <c r="B25" t="s">
        <v>13</v>
      </c>
      <c r="C25">
        <f>(Helpers!C4*Arkusz1!C23)/(2*Arkusz1!C12*POWER(10,-3)*Helpers!C5)</f>
        <v>0.41666666666666669</v>
      </c>
    </row>
    <row r="26" spans="2:8" x14ac:dyDescent="0.2">
      <c r="B26" t="s">
        <v>15</v>
      </c>
      <c r="C26">
        <f>(Helpers!C4*Arkusz1!C23*Arkusz1!C23)/(Arkusz1!C11*POWER(10,-6))</f>
        <v>65359.477124183017</v>
      </c>
      <c r="D26" t="s">
        <v>18</v>
      </c>
    </row>
    <row r="27" spans="2:8" x14ac:dyDescent="0.2">
      <c r="B27" t="s">
        <v>15</v>
      </c>
      <c r="C27">
        <f>C26/(2*PI())</f>
        <v>10402.283862215383</v>
      </c>
      <c r="D27" t="s">
        <v>19</v>
      </c>
    </row>
    <row r="29" spans="2:8" x14ac:dyDescent="0.2">
      <c r="B29" t="s">
        <v>20</v>
      </c>
      <c r="C29">
        <f>2/(Helpers!C4*Arkusz1!C8*POWER(10,-6))</f>
        <v>432.52595155709344</v>
      </c>
      <c r="D29" t="s">
        <v>18</v>
      </c>
    </row>
    <row r="30" spans="2:8" x14ac:dyDescent="0.2">
      <c r="B30" t="s">
        <v>20</v>
      </c>
      <c r="C30">
        <f>C29/(2*PI())</f>
        <v>68.838643205837087</v>
      </c>
      <c r="D30" t="s">
        <v>19</v>
      </c>
    </row>
    <row r="32" spans="2:8" x14ac:dyDescent="0.2">
      <c r="B32" t="s">
        <v>21</v>
      </c>
      <c r="C32" s="1">
        <v>1</v>
      </c>
      <c r="E32" t="s">
        <v>49</v>
      </c>
      <c r="F32">
        <f>(1+((C11*POWER(10,-6)*6*POWER(10,9))/(C3*C12*POWER(10,-3)*10*G22))*C23)</f>
        <v>1.6699346405228759</v>
      </c>
    </row>
    <row r="34" spans="2:4" x14ac:dyDescent="0.2">
      <c r="B34" t="s">
        <v>22</v>
      </c>
      <c r="C34">
        <f>1/(C14*POWER(10,3)*C15*POWER(10,-9))</f>
        <v>3745.3183520599246</v>
      </c>
      <c r="D34" t="s">
        <v>18</v>
      </c>
    </row>
    <row r="35" spans="2:4" x14ac:dyDescent="0.2">
      <c r="B35" t="s">
        <v>22</v>
      </c>
      <c r="C35">
        <f>C34/(2*PI())</f>
        <v>596.08592918312854</v>
      </c>
      <c r="D35" t="s">
        <v>19</v>
      </c>
    </row>
    <row r="37" spans="2:4" x14ac:dyDescent="0.2">
      <c r="B37" t="s">
        <v>30</v>
      </c>
      <c r="C37">
        <f>1/(C14*POWER(10,3)*C16*POWER(10,-12))</f>
        <v>208073.24178110695</v>
      </c>
      <c r="D37" t="s">
        <v>18</v>
      </c>
    </row>
    <row r="38" spans="2:4" x14ac:dyDescent="0.2">
      <c r="B38" t="s">
        <v>30</v>
      </c>
      <c r="C38">
        <f>C37/(2*PI())</f>
        <v>33115.884954618254</v>
      </c>
      <c r="D38" t="s">
        <v>19</v>
      </c>
    </row>
    <row r="40" spans="2:4" x14ac:dyDescent="0.2">
      <c r="B40" t="s">
        <v>29</v>
      </c>
      <c r="C40">
        <f>1/(C9*POWER(10,-3)*C8*POWER(10,-6))</f>
        <v>282805.42986425338</v>
      </c>
      <c r="D40" t="s">
        <v>18</v>
      </c>
    </row>
    <row r="41" spans="2:4" x14ac:dyDescent="0.2">
      <c r="B41" t="s">
        <v>29</v>
      </c>
      <c r="C41">
        <f>C40/(2*PI())</f>
        <v>45009.882096124245</v>
      </c>
      <c r="D41" t="s">
        <v>19</v>
      </c>
    </row>
    <row r="43" spans="2:4" x14ac:dyDescent="0.2">
      <c r="B43" t="s">
        <v>36</v>
      </c>
      <c r="C43">
        <f>Helpers!C6/5</f>
        <v>50000</v>
      </c>
      <c r="D43" t="s">
        <v>19</v>
      </c>
    </row>
    <row r="44" spans="2:4" x14ac:dyDescent="0.2">
      <c r="B44" t="s">
        <v>37</v>
      </c>
      <c r="C44">
        <f>C27/(8*PI())</f>
        <v>413.89372402915762</v>
      </c>
      <c r="D44" t="s">
        <v>19</v>
      </c>
    </row>
    <row r="45" spans="2:4" x14ac:dyDescent="0.2">
      <c r="B45" t="s">
        <v>33</v>
      </c>
      <c r="C45">
        <f>MIN(C43,C44)</f>
        <v>413.89372402915762</v>
      </c>
      <c r="D45" t="s">
        <v>19</v>
      </c>
    </row>
    <row r="47" spans="2:4" x14ac:dyDescent="0.2">
      <c r="B47" t="s">
        <v>38</v>
      </c>
      <c r="C47">
        <f>(C14*POWER(10,3)*C23)/(PI()*C12*POWER(10,-3)*C19*(POWER(10,3)*C8*(POWER(10,-6)*Helpers!C5)))</f>
        <v>638.19158805411462</v>
      </c>
      <c r="D47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9298-FD62-9D49-AF46-2889498C86E6}">
  <dimension ref="B4:C6"/>
  <sheetViews>
    <sheetView workbookViewId="0">
      <selection activeCell="G15" sqref="G15"/>
    </sheetView>
  </sheetViews>
  <sheetFormatPr baseColWidth="10" defaultRowHeight="16" x14ac:dyDescent="0.2"/>
  <sheetData>
    <row r="4" spans="2:3" x14ac:dyDescent="0.2">
      <c r="B4" t="s">
        <v>5</v>
      </c>
      <c r="C4">
        <f>Arkusz1!C6/Arkusz1!C5</f>
        <v>17</v>
      </c>
    </row>
    <row r="5" spans="2:3" x14ac:dyDescent="0.2">
      <c r="B5" t="s">
        <v>11</v>
      </c>
      <c r="C5">
        <v>1000</v>
      </c>
    </row>
    <row r="6" spans="2:3" x14ac:dyDescent="0.2">
      <c r="B6" t="s">
        <v>35</v>
      </c>
      <c r="C6">
        <f>(9*POWER(10,9))/(Arkusz1!C21*POWER(10,3))</f>
        <v>250000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Helpers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Bartek Nowicki</dc:creator>
  <cp:keywords/>
  <dc:description/>
  <cp:lastModifiedBy>Bartek Nowicki</cp:lastModifiedBy>
  <dcterms:created xsi:type="dcterms:W3CDTF">2023-11-23T09:54:14Z</dcterms:created>
  <dcterms:modified xsi:type="dcterms:W3CDTF">2023-12-07T14:34:04Z</dcterms:modified>
  <cp:category/>
</cp:coreProperties>
</file>